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Среднее" sheetId="1" r:id="rId1"/>
    <sheet name="Высокое давление" sheetId="2" r:id="rId2"/>
    <sheet name="Низкое" sheetId="3" r:id="rId3"/>
  </sheets>
  <calcPr calcId="125725"/>
</workbook>
</file>

<file path=xl/calcChain.xml><?xml version="1.0" encoding="utf-8"?>
<calcChain xmlns="http://schemas.openxmlformats.org/spreadsheetml/2006/main">
  <c r="K32" i="3"/>
  <c r="K33"/>
  <c r="O33" s="1"/>
  <c r="K34"/>
  <c r="O34"/>
  <c r="Q34" s="1"/>
  <c r="R34" s="1"/>
  <c r="I34"/>
  <c r="J34" s="1"/>
  <c r="I33"/>
  <c r="J33" s="1"/>
  <c r="O32"/>
  <c r="P32" s="1"/>
  <c r="I32"/>
  <c r="J32" s="1"/>
  <c r="Q31"/>
  <c r="O31"/>
  <c r="P31" s="1"/>
  <c r="I31"/>
  <c r="J31" s="1"/>
  <c r="P30"/>
  <c r="O30"/>
  <c r="Q30" s="1"/>
  <c r="R30" s="1"/>
  <c r="T30" s="1"/>
  <c r="S31" s="1"/>
  <c r="J30"/>
  <c r="I30"/>
  <c r="P33" l="1"/>
  <c r="Q33"/>
  <c r="R33" s="1"/>
  <c r="P34"/>
  <c r="Q32"/>
  <c r="R32" s="1"/>
  <c r="R31"/>
  <c r="T31" s="1"/>
  <c r="S32" s="1"/>
  <c r="O16"/>
  <c r="P16" s="1"/>
  <c r="I16"/>
  <c r="J16" s="1"/>
  <c r="O17"/>
  <c r="Q17" s="1"/>
  <c r="S17" s="1"/>
  <c r="I17"/>
  <c r="J17" s="1"/>
  <c r="O23"/>
  <c r="I23"/>
  <c r="J23" s="1"/>
  <c r="O22"/>
  <c r="P22" s="1"/>
  <c r="I22"/>
  <c r="J22" s="1"/>
  <c r="AI35"/>
  <c r="AI36" s="1"/>
  <c r="AH35"/>
  <c r="AH36" s="1"/>
  <c r="AJ34"/>
  <c r="AF34"/>
  <c r="AF35" s="1"/>
  <c r="AF36" s="1"/>
  <c r="O21"/>
  <c r="Q21" s="1"/>
  <c r="I21"/>
  <c r="J21" s="1"/>
  <c r="T32" l="1"/>
  <c r="S33" s="1"/>
  <c r="T33" s="1"/>
  <c r="S34" s="1"/>
  <c r="T34" s="1"/>
  <c r="AJ36"/>
  <c r="AH38" s="1"/>
  <c r="P23"/>
  <c r="Q23"/>
  <c r="Q22"/>
  <c r="R22" s="1"/>
  <c r="P17"/>
  <c r="Q16"/>
  <c r="S16" s="1"/>
  <c r="R23"/>
  <c r="R21"/>
  <c r="T21" s="1"/>
  <c r="S22" s="1"/>
  <c r="P21"/>
  <c r="AJ35"/>
  <c r="T22" l="1"/>
  <c r="S23" s="1"/>
  <c r="T23" s="1"/>
  <c r="M32" i="2"/>
  <c r="N32" s="1"/>
  <c r="G32"/>
  <c r="H32" s="1"/>
  <c r="N31"/>
  <c r="G31"/>
  <c r="H31"/>
  <c r="M31"/>
  <c r="O31" l="1"/>
  <c r="Q31" s="1"/>
  <c r="O32"/>
  <c r="Q32" s="1"/>
  <c r="G30"/>
  <c r="H30" s="1"/>
  <c r="M30"/>
  <c r="O30" s="1"/>
  <c r="N30" l="1"/>
  <c r="Q30"/>
  <c r="N149" i="1" l="1"/>
  <c r="O149" s="1"/>
  <c r="P149" s="1"/>
  <c r="S149" s="1"/>
  <c r="J149"/>
  <c r="M93"/>
  <c r="AE146"/>
  <c r="M145"/>
  <c r="J145"/>
  <c r="M144"/>
  <c r="J144"/>
  <c r="M143"/>
  <c r="J143"/>
  <c r="M142"/>
  <c r="J142"/>
  <c r="M141"/>
  <c r="J141"/>
  <c r="M140"/>
  <c r="J140"/>
  <c r="M139"/>
  <c r="J139"/>
  <c r="M138"/>
  <c r="J138"/>
  <c r="M137"/>
  <c r="J137"/>
  <c r="M136"/>
  <c r="J136"/>
  <c r="M135"/>
  <c r="J135"/>
  <c r="M134"/>
  <c r="J134"/>
  <c r="M133"/>
  <c r="J133"/>
  <c r="M132"/>
  <c r="J132"/>
  <c r="M131"/>
  <c r="J131"/>
  <c r="M130"/>
  <c r="J130"/>
  <c r="M129"/>
  <c r="J129"/>
  <c r="M128"/>
  <c r="J128"/>
  <c r="M127"/>
  <c r="J127"/>
  <c r="AC126"/>
  <c r="AA126"/>
  <c r="Z126"/>
  <c r="Z127" s="1"/>
  <c r="J126"/>
  <c r="AC127" l="1"/>
  <c r="Z128"/>
  <c r="AA127"/>
  <c r="AB127" s="1"/>
  <c r="AD127" s="1"/>
  <c r="K144" s="1"/>
  <c r="N144" s="1"/>
  <c r="O144" s="1"/>
  <c r="P144" s="1"/>
  <c r="AB126"/>
  <c r="AD126" s="1"/>
  <c r="K145" s="1"/>
  <c r="N145" s="1"/>
  <c r="O145" s="1"/>
  <c r="P145" s="1"/>
  <c r="AE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Z93"/>
  <c r="Z94" s="1"/>
  <c r="J93"/>
  <c r="Z129" l="1"/>
  <c r="AA128"/>
  <c r="AB128" s="1"/>
  <c r="AD128" s="1"/>
  <c r="K143" s="1"/>
  <c r="N143" s="1"/>
  <c r="O143" s="1"/>
  <c r="P143" s="1"/>
  <c r="AC128"/>
  <c r="Z95"/>
  <c r="AA94"/>
  <c r="AB94" s="1"/>
  <c r="AC94"/>
  <c r="AC93"/>
  <c r="AA93"/>
  <c r="AB93"/>
  <c r="AE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Z55"/>
  <c r="AC55" s="1"/>
  <c r="M55"/>
  <c r="J55"/>
  <c r="AD93" l="1"/>
  <c r="K112" s="1"/>
  <c r="N112" s="1"/>
  <c r="O112" s="1"/>
  <c r="P112" s="1"/>
  <c r="Q112" s="1"/>
  <c r="AD94"/>
  <c r="K111" s="1"/>
  <c r="N111" s="1"/>
  <c r="O111" s="1"/>
  <c r="P111" s="1"/>
  <c r="Q111" s="1"/>
  <c r="AA55"/>
  <c r="AC129"/>
  <c r="Z130"/>
  <c r="AA129"/>
  <c r="AB129" s="1"/>
  <c r="AA95"/>
  <c r="AB95" s="1"/>
  <c r="AC95"/>
  <c r="Z96"/>
  <c r="AB55"/>
  <c r="AD55" s="1"/>
  <c r="K74" s="1"/>
  <c r="N74" s="1"/>
  <c r="O74" s="1"/>
  <c r="P74" s="1"/>
  <c r="Q74" s="1"/>
  <c r="Z56"/>
  <c r="AA56" s="1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17"/>
  <c r="AD129" l="1"/>
  <c r="K142" s="1"/>
  <c r="N142" s="1"/>
  <c r="O142" s="1"/>
  <c r="P142" s="1"/>
  <c r="Z131"/>
  <c r="AA130"/>
  <c r="AB130" s="1"/>
  <c r="AD130" s="1"/>
  <c r="K141" s="1"/>
  <c r="N141" s="1"/>
  <c r="O141" s="1"/>
  <c r="P141" s="1"/>
  <c r="AC130"/>
  <c r="AD95"/>
  <c r="K110" s="1"/>
  <c r="N110" s="1"/>
  <c r="O110" s="1"/>
  <c r="P110" s="1"/>
  <c r="Q110" s="1"/>
  <c r="AC96"/>
  <c r="Z97"/>
  <c r="AA96"/>
  <c r="AB96" s="1"/>
  <c r="AC56"/>
  <c r="Z57"/>
  <c r="AA57" s="1"/>
  <c r="AB56"/>
  <c r="AD56" s="1"/>
  <c r="K73" s="1"/>
  <c r="N73" s="1"/>
  <c r="O73" s="1"/>
  <c r="P73" s="1"/>
  <c r="Q73" s="1"/>
  <c r="J36"/>
  <c r="J35"/>
  <c r="J34"/>
  <c r="J33"/>
  <c r="J32"/>
  <c r="J31"/>
  <c r="J30"/>
  <c r="J29"/>
  <c r="J28"/>
  <c r="J27"/>
  <c r="J26"/>
  <c r="J25"/>
  <c r="AE37"/>
  <c r="Z17"/>
  <c r="AB17" s="1"/>
  <c r="AC131" l="1"/>
  <c r="Z132"/>
  <c r="AA131"/>
  <c r="AB131" s="1"/>
  <c r="AD131" s="1"/>
  <c r="K140" s="1"/>
  <c r="N140" s="1"/>
  <c r="O140" s="1"/>
  <c r="P140" s="1"/>
  <c r="Z98"/>
  <c r="AA97"/>
  <c r="AB97" s="1"/>
  <c r="AC97"/>
  <c r="AD96"/>
  <c r="K109" s="1"/>
  <c r="N109" s="1"/>
  <c r="O109" s="1"/>
  <c r="P109" s="1"/>
  <c r="Q109" s="1"/>
  <c r="Z58"/>
  <c r="AA58" s="1"/>
  <c r="AB57"/>
  <c r="AC57"/>
  <c r="Z18"/>
  <c r="AC17"/>
  <c r="AD17" s="1"/>
  <c r="K36" s="1"/>
  <c r="AD97" l="1"/>
  <c r="K108" s="1"/>
  <c r="N108" s="1"/>
  <c r="O108" s="1"/>
  <c r="P108" s="1"/>
  <c r="Q108" s="1"/>
  <c r="Z133"/>
  <c r="AA132"/>
  <c r="AB132" s="1"/>
  <c r="AD132" s="1"/>
  <c r="K139" s="1"/>
  <c r="N139" s="1"/>
  <c r="O139" s="1"/>
  <c r="P139" s="1"/>
  <c r="AC132"/>
  <c r="Z99"/>
  <c r="AA98"/>
  <c r="AB98" s="1"/>
  <c r="AC98"/>
  <c r="AD57"/>
  <c r="K72" s="1"/>
  <c r="N72" s="1"/>
  <c r="O72" s="1"/>
  <c r="P72" s="1"/>
  <c r="Q72" s="1"/>
  <c r="Z59"/>
  <c r="AA59" s="1"/>
  <c r="AC58"/>
  <c r="AB58"/>
  <c r="N36"/>
  <c r="O36" s="1"/>
  <c r="P36" s="1"/>
  <c r="Q36" s="1"/>
  <c r="AB18"/>
  <c r="Z19"/>
  <c r="AC18"/>
  <c r="AD98" l="1"/>
  <c r="K107" s="1"/>
  <c r="N107" s="1"/>
  <c r="O107" s="1"/>
  <c r="P107" s="1"/>
  <c r="Q107" s="1"/>
  <c r="AC133"/>
  <c r="Z134"/>
  <c r="AA133"/>
  <c r="AB133" s="1"/>
  <c r="AD133" s="1"/>
  <c r="K138" s="1"/>
  <c r="N138" s="1"/>
  <c r="O138" s="1"/>
  <c r="P138" s="1"/>
  <c r="Z100"/>
  <c r="AA99"/>
  <c r="AB99" s="1"/>
  <c r="AC99"/>
  <c r="AD58"/>
  <c r="K71" s="1"/>
  <c r="N71" s="1"/>
  <c r="O71" s="1"/>
  <c r="P71" s="1"/>
  <c r="Q71" s="1"/>
  <c r="AC59"/>
  <c r="AB59"/>
  <c r="AD59" s="1"/>
  <c r="K70" s="1"/>
  <c r="N70" s="1"/>
  <c r="O70" s="1"/>
  <c r="P70" s="1"/>
  <c r="Q70" s="1"/>
  <c r="Z60"/>
  <c r="AA60" s="1"/>
  <c r="AB19"/>
  <c r="Z20"/>
  <c r="AC19"/>
  <c r="AD18"/>
  <c r="K35" s="1"/>
  <c r="Z135" l="1"/>
  <c r="AA134"/>
  <c r="AB134" s="1"/>
  <c r="AD134" s="1"/>
  <c r="K137" s="1"/>
  <c r="N137" s="1"/>
  <c r="O137" s="1"/>
  <c r="P137" s="1"/>
  <c r="AC134"/>
  <c r="AD99"/>
  <c r="K106" s="1"/>
  <c r="N106" s="1"/>
  <c r="O106" s="1"/>
  <c r="P106" s="1"/>
  <c r="Q106" s="1"/>
  <c r="Z101"/>
  <c r="AA100"/>
  <c r="AB100" s="1"/>
  <c r="AC100"/>
  <c r="AC60"/>
  <c r="Z61"/>
  <c r="AA61" s="1"/>
  <c r="AB60"/>
  <c r="AD60" s="1"/>
  <c r="K69" s="1"/>
  <c r="N69" s="1"/>
  <c r="O69" s="1"/>
  <c r="P69" s="1"/>
  <c r="Q69" s="1"/>
  <c r="N35"/>
  <c r="O35" s="1"/>
  <c r="P35" s="1"/>
  <c r="Q35" s="1"/>
  <c r="AB20"/>
  <c r="AC20"/>
  <c r="Z21"/>
  <c r="AD19"/>
  <c r="K34" s="1"/>
  <c r="AD100" l="1"/>
  <c r="K105" s="1"/>
  <c r="N105" s="1"/>
  <c r="O105" s="1"/>
  <c r="P105" s="1"/>
  <c r="Q105" s="1"/>
  <c r="AC135"/>
  <c r="Z136"/>
  <c r="AA135"/>
  <c r="AB135" s="1"/>
  <c r="AD135" s="1"/>
  <c r="K136" s="1"/>
  <c r="N136" s="1"/>
  <c r="O136" s="1"/>
  <c r="P136" s="1"/>
  <c r="Z102"/>
  <c r="AA101"/>
  <c r="AB101" s="1"/>
  <c r="AC101"/>
  <c r="Z62"/>
  <c r="AA62" s="1"/>
  <c r="AB61"/>
  <c r="AC61"/>
  <c r="N34"/>
  <c r="O34" s="1"/>
  <c r="P34" s="1"/>
  <c r="Q34" s="1"/>
  <c r="AB21"/>
  <c r="Z22"/>
  <c r="AC21"/>
  <c r="AD20"/>
  <c r="K33" s="1"/>
  <c r="AC136" l="1"/>
  <c r="Z137"/>
  <c r="AB136"/>
  <c r="AD101"/>
  <c r="K104" s="1"/>
  <c r="N104" s="1"/>
  <c r="O104" s="1"/>
  <c r="P104" s="1"/>
  <c r="Q104" s="1"/>
  <c r="Z103"/>
  <c r="AA102"/>
  <c r="AB102" s="1"/>
  <c r="AC102"/>
  <c r="AD61"/>
  <c r="K68" s="1"/>
  <c r="N68" s="1"/>
  <c r="O68" s="1"/>
  <c r="P68" s="1"/>
  <c r="Q68" s="1"/>
  <c r="AB62"/>
  <c r="Z63"/>
  <c r="AA63" s="1"/>
  <c r="AC62"/>
  <c r="N33"/>
  <c r="O33" s="1"/>
  <c r="P33" s="1"/>
  <c r="Q33" s="1"/>
  <c r="AB22"/>
  <c r="AC22"/>
  <c r="Z23"/>
  <c r="AD21"/>
  <c r="K32" s="1"/>
  <c r="AD102" l="1"/>
  <c r="K103" s="1"/>
  <c r="N103" s="1"/>
  <c r="O103" s="1"/>
  <c r="P103" s="1"/>
  <c r="Q103" s="1"/>
  <c r="AD62"/>
  <c r="K67" s="1"/>
  <c r="N67" s="1"/>
  <c r="O67" s="1"/>
  <c r="P67" s="1"/>
  <c r="Q67" s="1"/>
  <c r="Z138"/>
  <c r="AB137"/>
  <c r="AD137" s="1"/>
  <c r="K134" s="1"/>
  <c r="N134" s="1"/>
  <c r="O134" s="1"/>
  <c r="P134" s="1"/>
  <c r="AC137"/>
  <c r="AD136"/>
  <c r="K135" s="1"/>
  <c r="N135" s="1"/>
  <c r="O135" s="1"/>
  <c r="P135" s="1"/>
  <c r="AC103"/>
  <c r="Z104"/>
  <c r="AB103"/>
  <c r="AC63"/>
  <c r="AB63"/>
  <c r="Z64"/>
  <c r="AA64" s="1"/>
  <c r="N32"/>
  <c r="O32" s="1"/>
  <c r="P32" s="1"/>
  <c r="Q32" s="1"/>
  <c r="AB23"/>
  <c r="Z24"/>
  <c r="AC23"/>
  <c r="AD22"/>
  <c r="K31" s="1"/>
  <c r="AD63" l="1"/>
  <c r="K66" s="1"/>
  <c r="N66" s="1"/>
  <c r="O66" s="1"/>
  <c r="P66" s="1"/>
  <c r="Q66" s="1"/>
  <c r="AD103"/>
  <c r="K102" s="1"/>
  <c r="N102" s="1"/>
  <c r="O102" s="1"/>
  <c r="P102" s="1"/>
  <c r="Q102" s="1"/>
  <c r="AC138"/>
  <c r="Z139"/>
  <c r="AB138"/>
  <c r="Z105"/>
  <c r="AB104"/>
  <c r="AC104"/>
  <c r="AC64"/>
  <c r="Z65"/>
  <c r="AB64"/>
  <c r="AD64" s="1"/>
  <c r="K65" s="1"/>
  <c r="N65" s="1"/>
  <c r="O65" s="1"/>
  <c r="P65" s="1"/>
  <c r="Q65" s="1"/>
  <c r="N31"/>
  <c r="O31" s="1"/>
  <c r="P31" s="1"/>
  <c r="Q31" s="1"/>
  <c r="AB24"/>
  <c r="AC24"/>
  <c r="Z25"/>
  <c r="AD23"/>
  <c r="K30" s="1"/>
  <c r="AC139" l="1"/>
  <c r="Z140"/>
  <c r="AB139"/>
  <c r="AD138"/>
  <c r="K133" s="1"/>
  <c r="N133" s="1"/>
  <c r="O133" s="1"/>
  <c r="P133" s="1"/>
  <c r="AD104"/>
  <c r="K101" s="1"/>
  <c r="N101" s="1"/>
  <c r="O101" s="1"/>
  <c r="P101" s="1"/>
  <c r="Q101" s="1"/>
  <c r="AC105"/>
  <c r="Z106"/>
  <c r="AB105"/>
  <c r="Z66"/>
  <c r="AB65"/>
  <c r="AC65"/>
  <c r="N30"/>
  <c r="O30" s="1"/>
  <c r="P30" s="1"/>
  <c r="Q30" s="1"/>
  <c r="AB25"/>
  <c r="Z26"/>
  <c r="AC25"/>
  <c r="AD24"/>
  <c r="K29" s="1"/>
  <c r="AC140" l="1"/>
  <c r="Z141"/>
  <c r="AB140"/>
  <c r="AD139"/>
  <c r="K132" s="1"/>
  <c r="N132" s="1"/>
  <c r="O132" s="1"/>
  <c r="P132" s="1"/>
  <c r="AD105"/>
  <c r="K100" s="1"/>
  <c r="N100" s="1"/>
  <c r="O100" s="1"/>
  <c r="P100" s="1"/>
  <c r="Q100" s="1"/>
  <c r="AC106"/>
  <c r="Z107"/>
  <c r="AB106"/>
  <c r="AD65"/>
  <c r="K64" s="1"/>
  <c r="N64" s="1"/>
  <c r="O64" s="1"/>
  <c r="P64" s="1"/>
  <c r="Q64" s="1"/>
  <c r="AC66"/>
  <c r="AB66"/>
  <c r="Z67"/>
  <c r="N29"/>
  <c r="O29" s="1"/>
  <c r="P29" s="1"/>
  <c r="Q29" s="1"/>
  <c r="AB26"/>
  <c r="AC26"/>
  <c r="Z27"/>
  <c r="AD25"/>
  <c r="K28" s="1"/>
  <c r="AD140" l="1"/>
  <c r="K131" s="1"/>
  <c r="N131" s="1"/>
  <c r="O131" s="1"/>
  <c r="P131" s="1"/>
  <c r="Z142"/>
  <c r="AB141"/>
  <c r="AC141"/>
  <c r="AD106"/>
  <c r="K99" s="1"/>
  <c r="N99" s="1"/>
  <c r="O99" s="1"/>
  <c r="P99" s="1"/>
  <c r="Q99" s="1"/>
  <c r="AC107"/>
  <c r="Z108"/>
  <c r="AB107"/>
  <c r="AD66"/>
  <c r="K63" s="1"/>
  <c r="N63" s="1"/>
  <c r="O63" s="1"/>
  <c r="P63" s="1"/>
  <c r="Q63" s="1"/>
  <c r="Z68"/>
  <c r="AB67"/>
  <c r="AC67"/>
  <c r="N28"/>
  <c r="O28" s="1"/>
  <c r="P28" s="1"/>
  <c r="Q28" s="1"/>
  <c r="AB27"/>
  <c r="Z28"/>
  <c r="AC27"/>
  <c r="AD26"/>
  <c r="K27" s="1"/>
  <c r="AC142" l="1"/>
  <c r="Z143"/>
  <c r="AB142"/>
  <c r="AD141"/>
  <c r="K130" s="1"/>
  <c r="N130" s="1"/>
  <c r="O130" s="1"/>
  <c r="P130" s="1"/>
  <c r="Z109"/>
  <c r="AB108"/>
  <c r="AC108"/>
  <c r="AD107"/>
  <c r="K98" s="1"/>
  <c r="N98" s="1"/>
  <c r="O98" s="1"/>
  <c r="P98" s="1"/>
  <c r="Q98" s="1"/>
  <c r="AD67"/>
  <c r="K62" s="1"/>
  <c r="N62" s="1"/>
  <c r="O62" s="1"/>
  <c r="P62" s="1"/>
  <c r="Q62" s="1"/>
  <c r="AC68"/>
  <c r="Z69"/>
  <c r="AB68"/>
  <c r="N27"/>
  <c r="O27" s="1"/>
  <c r="P27" s="1"/>
  <c r="Q27" s="1"/>
  <c r="AC28"/>
  <c r="AB28"/>
  <c r="Z29"/>
  <c r="AD27"/>
  <c r="K26" s="1"/>
  <c r="AC143" l="1"/>
  <c r="Z144"/>
  <c r="AB143"/>
  <c r="AD142"/>
  <c r="K129" s="1"/>
  <c r="N129" s="1"/>
  <c r="O129" s="1"/>
  <c r="P129" s="1"/>
  <c r="AD108"/>
  <c r="K97" s="1"/>
  <c r="N97" s="1"/>
  <c r="O97" s="1"/>
  <c r="P97" s="1"/>
  <c r="Q97" s="1"/>
  <c r="AC109"/>
  <c r="Z110"/>
  <c r="AB109"/>
  <c r="AD68"/>
  <c r="K61" s="1"/>
  <c r="N61" s="1"/>
  <c r="O61" s="1"/>
  <c r="P61" s="1"/>
  <c r="Q61" s="1"/>
  <c r="Z70"/>
  <c r="AB69"/>
  <c r="AC69"/>
  <c r="N26"/>
  <c r="O26" s="1"/>
  <c r="P26" s="1"/>
  <c r="Q26" s="1"/>
  <c r="AD28"/>
  <c r="K25" s="1"/>
  <c r="Z30"/>
  <c r="AC29"/>
  <c r="AB29"/>
  <c r="AD69" l="1"/>
  <c r="K60" s="1"/>
  <c r="N60" s="1"/>
  <c r="O60" s="1"/>
  <c r="P60" s="1"/>
  <c r="Q60" s="1"/>
  <c r="AD143"/>
  <c r="K128" s="1"/>
  <c r="N128" s="1"/>
  <c r="O128" s="1"/>
  <c r="P128" s="1"/>
  <c r="AC144"/>
  <c r="Z145"/>
  <c r="AB144"/>
  <c r="AC110"/>
  <c r="Z111"/>
  <c r="AB110"/>
  <c r="AD110" s="1"/>
  <c r="K95" s="1"/>
  <c r="N95" s="1"/>
  <c r="O95" s="1"/>
  <c r="P95" s="1"/>
  <c r="Q95" s="1"/>
  <c r="AD109"/>
  <c r="K96" s="1"/>
  <c r="N96" s="1"/>
  <c r="O96" s="1"/>
  <c r="P96" s="1"/>
  <c r="Q96" s="1"/>
  <c r="AC70"/>
  <c r="AB70"/>
  <c r="Z71"/>
  <c r="N25"/>
  <c r="O25" s="1"/>
  <c r="P25" s="1"/>
  <c r="Q25" s="1"/>
  <c r="AD29"/>
  <c r="K24" s="1"/>
  <c r="AC30"/>
  <c r="AB30"/>
  <c r="Z31"/>
  <c r="AD70" l="1"/>
  <c r="K59" s="1"/>
  <c r="N59" s="1"/>
  <c r="O59" s="1"/>
  <c r="P59" s="1"/>
  <c r="Q59" s="1"/>
  <c r="AD144"/>
  <c r="K127" s="1"/>
  <c r="N127" s="1"/>
  <c r="O127" s="1"/>
  <c r="P127" s="1"/>
  <c r="AB145"/>
  <c r="AC145"/>
  <c r="AC111"/>
  <c r="Z112"/>
  <c r="AB111"/>
  <c r="AD111" s="1"/>
  <c r="K94" s="1"/>
  <c r="N94" s="1"/>
  <c r="O94" s="1"/>
  <c r="P94" s="1"/>
  <c r="Q94" s="1"/>
  <c r="Z72"/>
  <c r="AB71"/>
  <c r="AC71"/>
  <c r="AD30"/>
  <c r="K23" s="1"/>
  <c r="N23"/>
  <c r="O23" s="1"/>
  <c r="P23" s="1"/>
  <c r="N24"/>
  <c r="O24" s="1"/>
  <c r="P24" s="1"/>
  <c r="Z32"/>
  <c r="AC31"/>
  <c r="AB31"/>
  <c r="AD31" l="1"/>
  <c r="K22" s="1"/>
  <c r="AB147"/>
  <c r="AD145"/>
  <c r="AB112"/>
  <c r="AC112"/>
  <c r="AD71"/>
  <c r="K58" s="1"/>
  <c r="N58" s="1"/>
  <c r="O58" s="1"/>
  <c r="P58" s="1"/>
  <c r="Q58" s="1"/>
  <c r="AC72"/>
  <c r="Z73"/>
  <c r="AB72"/>
  <c r="N22"/>
  <c r="O22" s="1"/>
  <c r="P22" s="1"/>
  <c r="AC32"/>
  <c r="AB32"/>
  <c r="Z33"/>
  <c r="K126" l="1"/>
  <c r="N126" s="1"/>
  <c r="O126" s="1"/>
  <c r="P126" s="1"/>
  <c r="S126" s="1"/>
  <c r="R127" s="1"/>
  <c r="S127" s="1"/>
  <c r="R128" s="1"/>
  <c r="S128" s="1"/>
  <c r="R129" s="1"/>
  <c r="S129" s="1"/>
  <c r="R130" s="1"/>
  <c r="S130" s="1"/>
  <c r="R131" s="1"/>
  <c r="S131" s="1"/>
  <c r="R132" s="1"/>
  <c r="S132" s="1"/>
  <c r="R133" s="1"/>
  <c r="S133" s="1"/>
  <c r="R134" s="1"/>
  <c r="S134" s="1"/>
  <c r="R135" s="1"/>
  <c r="S135" s="1"/>
  <c r="R136" s="1"/>
  <c r="S136" s="1"/>
  <c r="R137" s="1"/>
  <c r="S137" s="1"/>
  <c r="R138" s="1"/>
  <c r="S138" s="1"/>
  <c r="R139" s="1"/>
  <c r="S139" s="1"/>
  <c r="R140" s="1"/>
  <c r="S140" s="1"/>
  <c r="R141" s="1"/>
  <c r="S141" s="1"/>
  <c r="R142" s="1"/>
  <c r="S142" s="1"/>
  <c r="R143" s="1"/>
  <c r="S143" s="1"/>
  <c r="R144" s="1"/>
  <c r="S144" s="1"/>
  <c r="R145" s="1"/>
  <c r="S145" s="1"/>
  <c r="AB114"/>
  <c r="AD112"/>
  <c r="K93" s="1"/>
  <c r="N93" s="1"/>
  <c r="O93" s="1"/>
  <c r="P93" s="1"/>
  <c r="Q93" s="1"/>
  <c r="S93" s="1"/>
  <c r="R94" s="1"/>
  <c r="S94" s="1"/>
  <c r="R95" s="1"/>
  <c r="S95" s="1"/>
  <c r="R96" s="1"/>
  <c r="S96" s="1"/>
  <c r="R97" s="1"/>
  <c r="S97" s="1"/>
  <c r="R98" s="1"/>
  <c r="S98" s="1"/>
  <c r="R99" s="1"/>
  <c r="S99" s="1"/>
  <c r="R100" s="1"/>
  <c r="S100" s="1"/>
  <c r="R101" s="1"/>
  <c r="S101" s="1"/>
  <c r="R102" s="1"/>
  <c r="S102" s="1"/>
  <c r="R103" s="1"/>
  <c r="S103" s="1"/>
  <c r="R104" s="1"/>
  <c r="S104" s="1"/>
  <c r="R105" s="1"/>
  <c r="S105" s="1"/>
  <c r="R106" s="1"/>
  <c r="S106" s="1"/>
  <c r="R107" s="1"/>
  <c r="S107" s="1"/>
  <c r="R108" s="1"/>
  <c r="S108" s="1"/>
  <c r="R109" s="1"/>
  <c r="S109" s="1"/>
  <c r="R110" s="1"/>
  <c r="S110" s="1"/>
  <c r="R111" s="1"/>
  <c r="S111" s="1"/>
  <c r="R112" s="1"/>
  <c r="S112" s="1"/>
  <c r="AD72"/>
  <c r="K57" s="1"/>
  <c r="N57" s="1"/>
  <c r="O57" s="1"/>
  <c r="P57" s="1"/>
  <c r="Q57" s="1"/>
  <c r="Z74"/>
  <c r="AB73"/>
  <c r="AC73"/>
  <c r="AD32"/>
  <c r="K21" s="1"/>
  <c r="Z34"/>
  <c r="AC33"/>
  <c r="AB33"/>
  <c r="AD73" l="1"/>
  <c r="K56" s="1"/>
  <c r="N56" s="1"/>
  <c r="O56" s="1"/>
  <c r="P56" s="1"/>
  <c r="Q56" s="1"/>
  <c r="AC74"/>
  <c r="AB74"/>
  <c r="N21"/>
  <c r="O21" s="1"/>
  <c r="P21" s="1"/>
  <c r="AD33"/>
  <c r="K20" s="1"/>
  <c r="AC34"/>
  <c r="AB34"/>
  <c r="Z35"/>
  <c r="AD74" l="1"/>
  <c r="K55" s="1"/>
  <c r="N55" s="1"/>
  <c r="O55" s="1"/>
  <c r="P55" s="1"/>
  <c r="Q55" s="1"/>
  <c r="S55" s="1"/>
  <c r="R56" s="1"/>
  <c r="S56" s="1"/>
  <c r="R57" s="1"/>
  <c r="S57" s="1"/>
  <c r="R58" s="1"/>
  <c r="S58" s="1"/>
  <c r="R59" s="1"/>
  <c r="S59" s="1"/>
  <c r="R60" s="1"/>
  <c r="S60" s="1"/>
  <c r="R61" s="1"/>
  <c r="S61" s="1"/>
  <c r="R62" s="1"/>
  <c r="S62" s="1"/>
  <c r="R63" s="1"/>
  <c r="S63" s="1"/>
  <c r="R64" s="1"/>
  <c r="S64" s="1"/>
  <c r="R65" s="1"/>
  <c r="S65" s="1"/>
  <c r="R66" s="1"/>
  <c r="S66" s="1"/>
  <c r="R67" s="1"/>
  <c r="S67" s="1"/>
  <c r="R68" s="1"/>
  <c r="S68" s="1"/>
  <c r="R69" s="1"/>
  <c r="S69" s="1"/>
  <c r="R70" s="1"/>
  <c r="S70" s="1"/>
  <c r="R71" s="1"/>
  <c r="S71" s="1"/>
  <c r="R72" s="1"/>
  <c r="S72" s="1"/>
  <c r="R73" s="1"/>
  <c r="S73" s="1"/>
  <c r="R74" s="1"/>
  <c r="S74" s="1"/>
  <c r="AB76"/>
  <c r="N20"/>
  <c r="O20" s="1"/>
  <c r="P20" s="1"/>
  <c r="AD34"/>
  <c r="K19" s="1"/>
  <c r="Z36"/>
  <c r="AC35"/>
  <c r="AB35"/>
  <c r="N19" l="1"/>
  <c r="O19" s="1"/>
  <c r="P19" s="1"/>
  <c r="AD35"/>
  <c r="K18" s="1"/>
  <c r="AC36"/>
  <c r="AB36"/>
  <c r="N18" l="1"/>
  <c r="O18" s="1"/>
  <c r="P18" s="1"/>
  <c r="AB38"/>
  <c r="AD36"/>
  <c r="K17" s="1"/>
  <c r="N17" l="1"/>
  <c r="O17" s="1"/>
  <c r="P17" s="1"/>
  <c r="Q17" s="1"/>
  <c r="J24"/>
  <c r="Q24" s="1"/>
  <c r="J23"/>
  <c r="Q23" s="1"/>
  <c r="J22"/>
  <c r="Q22" s="1"/>
  <c r="J21"/>
  <c r="Q21" s="1"/>
  <c r="J20"/>
  <c r="Q20" s="1"/>
  <c r="J19"/>
  <c r="Q19" s="1"/>
  <c r="J18"/>
  <c r="Q18" s="1"/>
  <c r="J17"/>
  <c r="S17" l="1"/>
  <c r="R18" s="1"/>
  <c r="S18" l="1"/>
  <c r="R19" s="1"/>
  <c r="S19" s="1"/>
  <c r="R20" s="1"/>
  <c r="S20" s="1"/>
  <c r="R21" s="1"/>
  <c r="S21" l="1"/>
  <c r="R22" s="1"/>
  <c r="S22" l="1"/>
  <c r="R23" s="1"/>
  <c r="S23" l="1"/>
  <c r="R24" s="1"/>
  <c r="S24" l="1"/>
  <c r="R25" s="1"/>
  <c r="S25" l="1"/>
  <c r="R26" s="1"/>
  <c r="S26" l="1"/>
  <c r="R27" s="1"/>
  <c r="S27" l="1"/>
  <c r="R28" s="1"/>
  <c r="S28" l="1"/>
  <c r="R29" s="1"/>
  <c r="S29" l="1"/>
  <c r="R30" s="1"/>
  <c r="S30" l="1"/>
  <c r="R31" s="1"/>
  <c r="S31" l="1"/>
  <c r="R32" s="1"/>
  <c r="S32" l="1"/>
  <c r="R33" s="1"/>
  <c r="S33" l="1"/>
  <c r="R34" s="1"/>
  <c r="S34" l="1"/>
  <c r="R35" s="1"/>
  <c r="S35" l="1"/>
  <c r="R36" s="1"/>
  <c r="S36" s="1"/>
</calcChain>
</file>

<file path=xl/sharedStrings.xml><?xml version="1.0" encoding="utf-8"?>
<sst xmlns="http://schemas.openxmlformats.org/spreadsheetml/2006/main" count="396" uniqueCount="118">
  <si>
    <t>Номер участка</t>
  </si>
  <si>
    <t>Расчетный расход газа м/ч</t>
  </si>
  <si>
    <t>А</t>
  </si>
  <si>
    <t>А * L</t>
  </si>
  <si>
    <t>по плану</t>
  </si>
  <si>
    <t>расчетная</t>
  </si>
  <si>
    <t>в начале</t>
  </si>
  <si>
    <t>в конце</t>
  </si>
  <si>
    <t>Норм. объем ПГ4</t>
  </si>
  <si>
    <t>соответствует BAXI 31</t>
  </si>
  <si>
    <t>Участок</t>
  </si>
  <si>
    <t>Кол-во потребителей</t>
  </si>
  <si>
    <t>Сумма потребителей</t>
  </si>
  <si>
    <t>Объем газа на плиты</t>
  </si>
  <si>
    <t>Объем газа на отопление</t>
  </si>
  <si>
    <t>Объем газа общий</t>
  </si>
  <si>
    <t>Длинна участка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</si>
  <si>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</si>
  <si>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</si>
  <si>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</si>
  <si>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</si>
  <si>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</si>
  <si>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</si>
  <si>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</si>
  <si>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</si>
  <si>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</si>
  <si>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</si>
  <si>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</si>
  <si>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</si>
  <si>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</si>
  <si>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</si>
  <si>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</si>
  <si>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</si>
  <si>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</si>
  <si>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</si>
  <si>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</si>
  <si>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</si>
  <si>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м</t>
  </si>
  <si>
    <t>Итого:</t>
  </si>
  <si>
    <t>м3/ч</t>
  </si>
  <si>
    <t>20-19</t>
  </si>
  <si>
    <t>19-18</t>
  </si>
  <si>
    <t>18-17</t>
  </si>
  <si>
    <t>17-16</t>
  </si>
  <si>
    <t>16-15</t>
  </si>
  <si>
    <t>15-14</t>
  </si>
  <si>
    <t>14-13</t>
  </si>
  <si>
    <t>13-12</t>
  </si>
  <si>
    <t>11-10</t>
  </si>
  <si>
    <t>12-11</t>
  </si>
  <si>
    <t>10-9</t>
  </si>
  <si>
    <t>9-8</t>
  </si>
  <si>
    <t>8-7</t>
  </si>
  <si>
    <t>7-6</t>
  </si>
  <si>
    <t>6-5</t>
  </si>
  <si>
    <t>5-4</t>
  </si>
  <si>
    <t>4-3</t>
  </si>
  <si>
    <t>3-2</t>
  </si>
  <si>
    <t>2-1</t>
  </si>
  <si>
    <t>1-0</t>
  </si>
  <si>
    <t>Марка ПЭ трубы</t>
  </si>
  <si>
    <t>Длинна участка, м</t>
  </si>
  <si>
    <t>Коэфициэнт одновременности использования плит</t>
  </si>
  <si>
    <t>Внутренний диаметр ПЭ трубы, мм</t>
  </si>
  <si>
    <t>Re</t>
  </si>
  <si>
    <t>Л</t>
  </si>
  <si>
    <t>Давление на участке МПа</t>
  </si>
  <si>
    <t>д.Жилино+Можайское+Сапог</t>
  </si>
  <si>
    <t>Норм. объем ОС</t>
  </si>
  <si>
    <t>д.Жилино+Можайское+Сапог+Верх</t>
  </si>
  <si>
    <t>д.Жилино+Можайское</t>
  </si>
  <si>
    <t>РАБОЧИЙ ПРЕКТ</t>
  </si>
  <si>
    <t>К</t>
  </si>
  <si>
    <t>108х4</t>
  </si>
  <si>
    <t>Марка  трубы</t>
  </si>
  <si>
    <t>до ГРПШ</t>
  </si>
  <si>
    <t>Гидравлический расчет подземного газопровода-ввода и надземного газопровода низкого давления ул. Восточная с подключающимися 12 домами выше</t>
  </si>
  <si>
    <t>№ уч-ка</t>
  </si>
  <si>
    <t>Re*(n/d)&lt;23</t>
  </si>
  <si>
    <t>λ</t>
  </si>
  <si>
    <t>lр</t>
  </si>
  <si>
    <r>
      <t>l</t>
    </r>
    <r>
      <rPr>
        <vertAlign val="subscript"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>,м</t>
    </r>
  </si>
  <si>
    <r>
      <t>l</t>
    </r>
    <r>
      <rPr>
        <vertAlign val="subscript"/>
        <sz val="12"/>
        <rFont val="Times New Roman"/>
        <family val="1"/>
        <charset val="204"/>
      </rPr>
      <t>э</t>
    </r>
  </si>
  <si>
    <r>
      <t>Q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>,м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</t>
    </r>
  </si>
  <si>
    <r>
      <t>d</t>
    </r>
    <r>
      <rPr>
        <vertAlign val="subscript"/>
        <sz val="12"/>
        <rFont val="Times New Roman"/>
        <family val="1"/>
        <charset val="204"/>
      </rPr>
      <t xml:space="preserve">н </t>
    </r>
    <r>
      <rPr>
        <sz val="12"/>
        <rFont val="Times New Roman"/>
        <family val="1"/>
        <charset val="204"/>
      </rPr>
      <t xml:space="preserve"> х b, мм</t>
    </r>
  </si>
  <si>
    <r>
      <t>d</t>
    </r>
    <r>
      <rPr>
        <vertAlign val="subscript"/>
        <sz val="12"/>
        <rFont val="Times New Roman"/>
        <family val="1"/>
        <charset val="204"/>
      </rPr>
      <t>вн</t>
    </r>
    <r>
      <rPr>
        <sz val="12"/>
        <rFont val="Times New Roman"/>
        <family val="1"/>
        <charset val="204"/>
      </rPr>
      <t>, см</t>
    </r>
  </si>
  <si>
    <r>
      <t>ν,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/с</t>
    </r>
  </si>
  <si>
    <r>
      <t>Р</t>
    </r>
    <r>
      <rPr>
        <vertAlign val="subscript"/>
        <sz val="12"/>
        <rFont val="Times New Roman"/>
        <family val="1"/>
        <charset val="204"/>
      </rPr>
      <t xml:space="preserve">н, </t>
    </r>
    <r>
      <rPr>
        <sz val="12"/>
        <rFont val="Times New Roman"/>
        <family val="1"/>
        <charset val="204"/>
      </rPr>
      <t xml:space="preserve"> Па</t>
    </r>
  </si>
  <si>
    <r>
      <t>Р</t>
    </r>
    <r>
      <rPr>
        <vertAlign val="subscript"/>
        <sz val="12"/>
        <rFont val="Times New Roman"/>
        <family val="1"/>
        <charset val="204"/>
      </rPr>
      <t xml:space="preserve">к, </t>
    </r>
    <r>
      <rPr>
        <sz val="12"/>
        <rFont val="Times New Roman"/>
        <family val="1"/>
        <charset val="204"/>
      </rPr>
      <t xml:space="preserve"> Па</t>
    </r>
  </si>
  <si>
    <t>сталь</t>
  </si>
  <si>
    <t>высокое</t>
  </si>
  <si>
    <t>ПЭ</t>
  </si>
  <si>
    <t>0-2</t>
  </si>
  <si>
    <t>63х5.8</t>
  </si>
  <si>
    <t>32х3.0</t>
  </si>
  <si>
    <t>соответствует BAXI 24</t>
  </si>
  <si>
    <t>соответствует BAXI 1400</t>
  </si>
  <si>
    <t xml:space="preserve">Кол-во плит, варочных поверхностей </t>
  </si>
  <si>
    <t>Прим.</t>
  </si>
  <si>
    <t>Ст</t>
  </si>
  <si>
    <r>
      <t>l</t>
    </r>
    <r>
      <rPr>
        <vertAlign val="subscript"/>
        <sz val="12"/>
        <rFont val="Arial Narrow"/>
        <family val="2"/>
        <charset val="204"/>
      </rPr>
      <t>ф</t>
    </r>
    <r>
      <rPr>
        <sz val="12"/>
        <rFont val="Arial Narrow"/>
        <family val="2"/>
        <charset val="204"/>
      </rPr>
      <t>,м</t>
    </r>
  </si>
  <si>
    <r>
      <t>l</t>
    </r>
    <r>
      <rPr>
        <vertAlign val="subscript"/>
        <sz val="12"/>
        <rFont val="Arial Narrow"/>
        <family val="2"/>
        <charset val="204"/>
      </rPr>
      <t>э</t>
    </r>
  </si>
  <si>
    <r>
      <t>Q</t>
    </r>
    <r>
      <rPr>
        <vertAlign val="subscript"/>
        <sz val="12"/>
        <rFont val="Arial Narrow"/>
        <family val="2"/>
        <charset val="204"/>
      </rPr>
      <t>р</t>
    </r>
    <r>
      <rPr>
        <sz val="12"/>
        <rFont val="Arial Narrow"/>
        <family val="2"/>
        <charset val="204"/>
      </rPr>
      <t>,м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>/ч</t>
    </r>
  </si>
  <si>
    <r>
      <t>d</t>
    </r>
    <r>
      <rPr>
        <vertAlign val="subscript"/>
        <sz val="12"/>
        <rFont val="Arial Narrow"/>
        <family val="2"/>
        <charset val="204"/>
      </rPr>
      <t xml:space="preserve">н </t>
    </r>
    <r>
      <rPr>
        <sz val="12"/>
        <rFont val="Arial Narrow"/>
        <family val="2"/>
        <charset val="204"/>
      </rPr>
      <t xml:space="preserve"> х b, мм</t>
    </r>
  </si>
  <si>
    <r>
      <t>d</t>
    </r>
    <r>
      <rPr>
        <vertAlign val="subscript"/>
        <sz val="12"/>
        <rFont val="Arial Narrow"/>
        <family val="2"/>
        <charset val="204"/>
      </rPr>
      <t>вн</t>
    </r>
    <r>
      <rPr>
        <sz val="12"/>
        <rFont val="Arial Narrow"/>
        <family val="2"/>
        <charset val="204"/>
      </rPr>
      <t>, см</t>
    </r>
  </si>
  <si>
    <r>
      <t>ν, м</t>
    </r>
    <r>
      <rPr>
        <vertAlign val="super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/с</t>
    </r>
  </si>
  <si>
    <r>
      <t>Р</t>
    </r>
    <r>
      <rPr>
        <vertAlign val="subscript"/>
        <sz val="12"/>
        <rFont val="Arial Narrow"/>
        <family val="2"/>
        <charset val="204"/>
      </rPr>
      <t>н</t>
    </r>
    <r>
      <rPr>
        <sz val="12"/>
        <rFont val="Arial Narrow"/>
        <family val="2"/>
        <charset val="204"/>
      </rPr>
      <t>-Р</t>
    </r>
    <r>
      <rPr>
        <vertAlign val="subscript"/>
        <sz val="12"/>
        <rFont val="Arial Narrow"/>
        <family val="2"/>
        <charset val="204"/>
      </rPr>
      <t xml:space="preserve">к, </t>
    </r>
    <r>
      <rPr>
        <sz val="12"/>
        <rFont val="Arial Narrow"/>
        <family val="2"/>
        <charset val="204"/>
      </rPr>
      <t xml:space="preserve"> Па</t>
    </r>
  </si>
  <si>
    <r>
      <t>Р</t>
    </r>
    <r>
      <rPr>
        <vertAlign val="subscript"/>
        <sz val="12"/>
        <rFont val="Arial Narrow"/>
        <family val="2"/>
        <charset val="204"/>
      </rPr>
      <t xml:space="preserve">н, </t>
    </r>
    <r>
      <rPr>
        <sz val="12"/>
        <rFont val="Arial Narrow"/>
        <family val="2"/>
        <charset val="204"/>
      </rPr>
      <t xml:space="preserve"> Па</t>
    </r>
  </si>
  <si>
    <r>
      <t>Р</t>
    </r>
    <r>
      <rPr>
        <vertAlign val="subscript"/>
        <sz val="12"/>
        <rFont val="Arial Narrow"/>
        <family val="2"/>
        <charset val="204"/>
      </rPr>
      <t xml:space="preserve">к, </t>
    </r>
    <r>
      <rPr>
        <sz val="12"/>
        <rFont val="Arial Narrow"/>
        <family val="2"/>
        <charset val="204"/>
      </rPr>
      <t xml:space="preserve"> Па</t>
    </r>
  </si>
  <si>
    <t>ПЭ 32</t>
  </si>
  <si>
    <t>ПЭ 63</t>
  </si>
  <si>
    <t>Гидравлический расчет подземного газопровода-ввода Высокое давление</t>
  </si>
  <si>
    <t>57х3,5</t>
  </si>
  <si>
    <t>63х5,8</t>
  </si>
  <si>
    <t>Гидравлический расчет подземного газопровода-ввода и надземного газопровода низкого давления пр Победы 48 до Административного здания</t>
  </si>
  <si>
    <t>Гидравлический расчет подземного газопровода-ввода и надземного газопровода низкого давления пр Победы 48 конечного потребителя</t>
  </si>
  <si>
    <t>25х2,8</t>
  </si>
  <si>
    <t>Мат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</si>
</sst>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"/>
    <numFmt numFmtId="167" formatCode="0.0E+0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vertAlign val="subscript"/>
      <sz val="12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2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165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 readingOrder="1"/>
    </xf>
    <xf numFmtId="164" fontId="5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2" fontId="1" fillId="0" borderId="0" xfId="0" applyNumberFormat="1" applyFont="1"/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165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5:AF151"/>
  <sheetViews>
    <sheetView tabSelected="1" topLeftCell="N124" zoomScale="70" zoomScaleNormal="70" workbookViewId="0">
      <selection activeCell="P126" sqref="P126"/>
    </sheetView>
  </sheetViews>
  <sheetFormatPr defaultRowHeight="18.75"/>
  <cols>
    <col min="1" max="11" width="9.140625" style="1"/>
    <col min="12" max="15" width="13.28515625" style="1" customWidth="1"/>
    <col min="16" max="18" width="13.140625" style="1" bestFit="1" customWidth="1"/>
    <col min="19" max="19" width="17.5703125" style="1" customWidth="1"/>
    <col min="20" max="23" width="9.140625" style="1"/>
    <col min="24" max="24" width="14" style="1" customWidth="1"/>
    <col min="25" max="25" width="16.5703125" style="1" customWidth="1"/>
    <col min="26" max="26" width="17.5703125" style="1" customWidth="1"/>
    <col min="27" max="27" width="23.42578125" style="1" customWidth="1"/>
    <col min="28" max="28" width="15.85546875" style="1" customWidth="1"/>
    <col min="29" max="29" width="20.140625" style="1" customWidth="1"/>
    <col min="30" max="30" width="16.85546875" style="1" customWidth="1"/>
    <col min="31" max="31" width="18.28515625" style="1" customWidth="1"/>
    <col min="32" max="16384" width="9.140625" style="1"/>
  </cols>
  <sheetData>
    <row r="5" spans="8:31"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8:31"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8:31"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8:31"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8:31"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2" spans="8:31">
      <c r="I12" s="79" t="s">
        <v>70</v>
      </c>
      <c r="J12" s="81"/>
      <c r="K12" s="81"/>
      <c r="L12" s="81"/>
      <c r="M12" s="81"/>
      <c r="N12" s="81"/>
      <c r="O12" s="81"/>
      <c r="P12" s="81"/>
      <c r="Q12" s="81"/>
      <c r="R12" s="81"/>
    </row>
    <row r="13" spans="8:31">
      <c r="I13" s="81"/>
      <c r="J13" s="81"/>
      <c r="K13" s="81"/>
      <c r="L13" s="81"/>
      <c r="M13" s="81"/>
      <c r="N13" s="81"/>
      <c r="O13" s="81"/>
      <c r="P13" s="81"/>
      <c r="Q13" s="81"/>
      <c r="R13" s="81"/>
      <c r="Z13" s="1" t="s">
        <v>8</v>
      </c>
      <c r="AB13" s="9">
        <v>1.2</v>
      </c>
      <c r="AC13" s="9"/>
      <c r="AD13" s="9"/>
    </row>
    <row r="14" spans="8:31" ht="19.5" thickBot="1">
      <c r="Z14" s="1" t="s">
        <v>68</v>
      </c>
      <c r="AB14" s="9">
        <v>3.5</v>
      </c>
      <c r="AC14" s="1" t="s">
        <v>9</v>
      </c>
    </row>
    <row r="15" spans="8:31" ht="28.5" customHeight="1" thickTop="1">
      <c r="H15" s="73" t="s">
        <v>0</v>
      </c>
      <c r="I15" s="75" t="s">
        <v>61</v>
      </c>
      <c r="J15" s="75"/>
      <c r="K15" s="75" t="s">
        <v>1</v>
      </c>
      <c r="L15" s="75" t="s">
        <v>60</v>
      </c>
      <c r="M15" s="75" t="s">
        <v>63</v>
      </c>
      <c r="N15" s="77" t="s">
        <v>64</v>
      </c>
      <c r="O15" s="77" t="s">
        <v>65</v>
      </c>
      <c r="P15" s="75" t="s">
        <v>2</v>
      </c>
      <c r="Q15" s="75" t="s">
        <v>3</v>
      </c>
      <c r="R15" s="75" t="s">
        <v>66</v>
      </c>
      <c r="S15" s="80"/>
    </row>
    <row r="16" spans="8:31" ht="75">
      <c r="H16" s="74"/>
      <c r="I16" s="2" t="s">
        <v>4</v>
      </c>
      <c r="J16" s="2" t="s">
        <v>5</v>
      </c>
      <c r="K16" s="76"/>
      <c r="L16" s="76"/>
      <c r="M16" s="76"/>
      <c r="N16" s="78"/>
      <c r="O16" s="78"/>
      <c r="P16" s="76"/>
      <c r="Q16" s="76"/>
      <c r="R16" s="2" t="s">
        <v>6</v>
      </c>
      <c r="S16" s="3" t="s">
        <v>7</v>
      </c>
      <c r="X16" s="10" t="s">
        <v>10</v>
      </c>
      <c r="Y16" s="10" t="s">
        <v>11</v>
      </c>
      <c r="Z16" s="10" t="s">
        <v>12</v>
      </c>
      <c r="AA16" s="10" t="s">
        <v>62</v>
      </c>
      <c r="AB16" s="10" t="s">
        <v>13</v>
      </c>
      <c r="AC16" s="10" t="s">
        <v>14</v>
      </c>
      <c r="AD16" s="10" t="s">
        <v>15</v>
      </c>
      <c r="AE16" s="10" t="s">
        <v>16</v>
      </c>
    </row>
    <row r="17" spans="8:32">
      <c r="H17" s="12" t="s">
        <v>40</v>
      </c>
      <c r="I17" s="2">
        <v>250</v>
      </c>
      <c r="J17" s="2">
        <f t="shared" ref="J17:J36" si="0">I17+(I17*0.1)</f>
        <v>275</v>
      </c>
      <c r="K17" s="22">
        <f>AD36</f>
        <v>1160.511</v>
      </c>
      <c r="L17" s="2">
        <v>160</v>
      </c>
      <c r="M17" s="23">
        <f>L17-(2*L17/11)</f>
        <v>130.90909090909091</v>
      </c>
      <c r="N17" s="23">
        <f>0.0354*K17*10^6*10/(M17*14.3)</f>
        <v>219455.60576923078</v>
      </c>
      <c r="O17" s="26">
        <f>1/((1.82*LOG(N17)-1.64)^2)</f>
        <v>1.531238404024526E-2</v>
      </c>
      <c r="P17" s="2">
        <f>1.2687*0.73*O17*K17*K17/(((M17/10)^5)*10^4)</f>
        <v>4.9679143618115247E-6</v>
      </c>
      <c r="Q17" s="2">
        <f>J17*P17</f>
        <v>1.3661764494981694E-3</v>
      </c>
      <c r="R17" s="28">
        <v>0.3</v>
      </c>
      <c r="S17" s="29">
        <f>SQRT((0.1+R17)^2-Q17)-0.1</f>
        <v>0.29828861840442022</v>
      </c>
      <c r="X17" s="12" t="s">
        <v>17</v>
      </c>
      <c r="Y17" s="13">
        <v>6</v>
      </c>
      <c r="Z17" s="13">
        <f>Y17</f>
        <v>6</v>
      </c>
      <c r="AA17" s="14">
        <v>0.28000000000000003</v>
      </c>
      <c r="AB17" s="12">
        <f>Z17*AB13*AA17</f>
        <v>2.016</v>
      </c>
      <c r="AC17" s="12">
        <f>Z17*0.85*AB14</f>
        <v>17.849999999999998</v>
      </c>
      <c r="AD17" s="12">
        <f>AB17+AC17</f>
        <v>19.866</v>
      </c>
      <c r="AE17" s="13">
        <v>96</v>
      </c>
      <c r="AF17" s="11"/>
    </row>
    <row r="18" spans="8:32">
      <c r="H18" s="15" t="s">
        <v>41</v>
      </c>
      <c r="I18" s="2">
        <v>185</v>
      </c>
      <c r="J18" s="2">
        <f t="shared" si="0"/>
        <v>203.5</v>
      </c>
      <c r="K18" s="22">
        <f>AD35</f>
        <v>1141.329</v>
      </c>
      <c r="L18" s="2">
        <v>160</v>
      </c>
      <c r="M18" s="23">
        <f t="shared" ref="M18:M36" si="1">L18-(2*L18/11)</f>
        <v>130.90909090909091</v>
      </c>
      <c r="N18" s="23">
        <f t="shared" ref="N18:N36" si="2">0.0354*K18*10^6*10/(M18*14.3)</f>
        <v>215828.24038461535</v>
      </c>
      <c r="O18" s="26">
        <f t="shared" ref="O18:O36" si="3">1/((1.82*LOG(N18)-1.64)^2)</f>
        <v>1.5362430308146919E-2</v>
      </c>
      <c r="P18" s="24">
        <f t="shared" ref="P18:P36" si="4">1.2687*0.73*O18*K18*K18/(((M18/10)^5)*10^4)</f>
        <v>4.8207476230325904E-6</v>
      </c>
      <c r="Q18" s="24">
        <f t="shared" ref="Q18:Q36" si="5">J18*P18</f>
        <v>9.8102214128713218E-4</v>
      </c>
      <c r="R18" s="28">
        <f>S17</f>
        <v>0.29828861840442022</v>
      </c>
      <c r="S18" s="29">
        <f t="shared" ref="S18:S36" si="6">SQRT((0.1+R18)^2-Q18)-0.1</f>
        <v>0.29705516167053503</v>
      </c>
      <c r="X18" s="15" t="s">
        <v>18</v>
      </c>
      <c r="Y18" s="13">
        <v>2</v>
      </c>
      <c r="Z18" s="13">
        <f t="shared" ref="Z18:Z36" si="7">Y18+Z17</f>
        <v>8</v>
      </c>
      <c r="AA18" s="14">
        <v>0.26500000000000001</v>
      </c>
      <c r="AB18" s="12">
        <f>Z18*AB13*AA18</f>
        <v>2.544</v>
      </c>
      <c r="AC18" s="12">
        <f>Z18*0.85*AB14</f>
        <v>23.8</v>
      </c>
      <c r="AD18" s="12">
        <f t="shared" ref="AD18:AD36" si="8">AB18+AC18</f>
        <v>26.344000000000001</v>
      </c>
      <c r="AE18" s="13">
        <v>118</v>
      </c>
      <c r="AF18" s="11"/>
    </row>
    <row r="19" spans="8:32">
      <c r="H19" s="15" t="s">
        <v>42</v>
      </c>
      <c r="I19" s="2">
        <v>125</v>
      </c>
      <c r="J19" s="2">
        <f t="shared" si="0"/>
        <v>137.5</v>
      </c>
      <c r="K19" s="22">
        <f>AD34</f>
        <v>1090.5862</v>
      </c>
      <c r="L19" s="2">
        <v>160</v>
      </c>
      <c r="M19" s="23">
        <f t="shared" si="1"/>
        <v>130.90909090909091</v>
      </c>
      <c r="N19" s="23">
        <f t="shared" si="2"/>
        <v>206232.64679487178</v>
      </c>
      <c r="O19" s="26">
        <f t="shared" si="3"/>
        <v>1.5500242349352947E-2</v>
      </c>
      <c r="P19" s="24">
        <f t="shared" si="4"/>
        <v>4.4411071316732432E-6</v>
      </c>
      <c r="Q19" s="24">
        <f t="shared" si="5"/>
        <v>6.1065223060507089E-4</v>
      </c>
      <c r="R19" s="28">
        <f t="shared" ref="R19:R36" si="9">S18</f>
        <v>0.29705516167053503</v>
      </c>
      <c r="S19" s="29">
        <f t="shared" si="6"/>
        <v>0.2962854390191616</v>
      </c>
      <c r="X19" s="15" t="s">
        <v>19</v>
      </c>
      <c r="Y19" s="13">
        <v>13</v>
      </c>
      <c r="Z19" s="13">
        <f t="shared" si="7"/>
        <v>21</v>
      </c>
      <c r="AA19" s="14">
        <v>0.23499999999999999</v>
      </c>
      <c r="AB19" s="12">
        <f>Z19*AB13*AA19</f>
        <v>5.9219999999999997</v>
      </c>
      <c r="AC19" s="12">
        <f>Z19*0.85*AB14</f>
        <v>62.474999999999994</v>
      </c>
      <c r="AD19" s="12">
        <f t="shared" si="8"/>
        <v>68.396999999999991</v>
      </c>
      <c r="AE19" s="13">
        <v>313</v>
      </c>
      <c r="AF19" s="11"/>
    </row>
    <row r="20" spans="8:32">
      <c r="H20" s="15" t="s">
        <v>43</v>
      </c>
      <c r="I20" s="2">
        <v>125</v>
      </c>
      <c r="J20" s="2">
        <f t="shared" si="0"/>
        <v>137.5</v>
      </c>
      <c r="K20" s="22">
        <f>AD33</f>
        <v>1040.1949999999999</v>
      </c>
      <c r="L20" s="2">
        <v>160</v>
      </c>
      <c r="M20" s="23">
        <f t="shared" si="1"/>
        <v>130.90909090909091</v>
      </c>
      <c r="N20" s="23">
        <f t="shared" si="2"/>
        <v>196703.54166666666</v>
      </c>
      <c r="O20" s="26">
        <f t="shared" si="3"/>
        <v>1.5645574332615663E-2</v>
      </c>
      <c r="P20" s="24">
        <f t="shared" si="4"/>
        <v>4.0780617664857975E-6</v>
      </c>
      <c r="Q20" s="24">
        <f t="shared" si="5"/>
        <v>5.6073349289179715E-4</v>
      </c>
      <c r="R20" s="28">
        <f t="shared" si="9"/>
        <v>0.2962854390191616</v>
      </c>
      <c r="S20" s="29">
        <f t="shared" si="6"/>
        <v>0.29557731947840216</v>
      </c>
      <c r="X20" s="15" t="s">
        <v>20</v>
      </c>
      <c r="Y20" s="13">
        <v>10</v>
      </c>
      <c r="Z20" s="13">
        <f t="shared" si="7"/>
        <v>31</v>
      </c>
      <c r="AA20" s="14">
        <v>0.23100000000000001</v>
      </c>
      <c r="AB20" s="12">
        <f>Z20*AB13*AA20</f>
        <v>8.5931999999999995</v>
      </c>
      <c r="AC20" s="12">
        <f>Z20*0.85*AB14</f>
        <v>92.224999999999994</v>
      </c>
      <c r="AD20" s="12">
        <f t="shared" si="8"/>
        <v>100.81819999999999</v>
      </c>
      <c r="AE20" s="13">
        <v>86</v>
      </c>
      <c r="AF20" s="11"/>
    </row>
    <row r="21" spans="8:32">
      <c r="H21" s="15" t="s">
        <v>44</v>
      </c>
      <c r="I21" s="2">
        <v>125</v>
      </c>
      <c r="J21" s="2">
        <f t="shared" si="0"/>
        <v>137.5</v>
      </c>
      <c r="K21" s="22">
        <f>AD32</f>
        <v>992.93000000000006</v>
      </c>
      <c r="L21" s="2">
        <v>160</v>
      </c>
      <c r="M21" s="23">
        <f t="shared" si="1"/>
        <v>130.90909090909091</v>
      </c>
      <c r="N21" s="23">
        <f t="shared" si="2"/>
        <v>187765.608974359</v>
      </c>
      <c r="O21" s="26">
        <f t="shared" si="3"/>
        <v>1.5790438157984088E-2</v>
      </c>
      <c r="P21" s="24">
        <f t="shared" si="4"/>
        <v>3.7502844694236738E-6</v>
      </c>
      <c r="Q21" s="24">
        <f t="shared" si="5"/>
        <v>5.1566411454575514E-4</v>
      </c>
      <c r="R21" s="28">
        <f t="shared" si="9"/>
        <v>0.29557731947840216</v>
      </c>
      <c r="S21" s="29">
        <f t="shared" si="6"/>
        <v>0.29492499486759771</v>
      </c>
      <c r="X21" s="15" t="s">
        <v>21</v>
      </c>
      <c r="Y21" s="13">
        <v>33</v>
      </c>
      <c r="Z21" s="13">
        <f t="shared" si="7"/>
        <v>64</v>
      </c>
      <c r="AA21" s="14">
        <v>0.22</v>
      </c>
      <c r="AB21" s="12">
        <f>Z21*AB13*AA21</f>
        <v>16.896000000000001</v>
      </c>
      <c r="AC21" s="12">
        <f>Z21*0.85*AB14</f>
        <v>190.4</v>
      </c>
      <c r="AD21" s="12">
        <f t="shared" si="8"/>
        <v>207.29599999999999</v>
      </c>
      <c r="AE21" s="13">
        <v>86</v>
      </c>
      <c r="AF21" s="11"/>
    </row>
    <row r="22" spans="8:32">
      <c r="H22" s="16" t="s">
        <v>45</v>
      </c>
      <c r="I22" s="2">
        <v>125</v>
      </c>
      <c r="J22" s="2">
        <f t="shared" si="0"/>
        <v>137.5</v>
      </c>
      <c r="K22" s="22">
        <f>AD31</f>
        <v>948.08799999999997</v>
      </c>
      <c r="L22" s="2">
        <v>160</v>
      </c>
      <c r="M22" s="23">
        <f t="shared" si="1"/>
        <v>130.90909090909091</v>
      </c>
      <c r="N22" s="23">
        <f t="shared" si="2"/>
        <v>179285.87179487178</v>
      </c>
      <c r="O22" s="26">
        <f t="shared" si="3"/>
        <v>1.5936399492118294E-2</v>
      </c>
      <c r="P22" s="24">
        <f t="shared" si="4"/>
        <v>3.450803841377304E-6</v>
      </c>
      <c r="Q22" s="24">
        <f t="shared" si="5"/>
        <v>4.744855281893793E-4</v>
      </c>
      <c r="R22" s="28">
        <f t="shared" si="9"/>
        <v>0.29492499486759771</v>
      </c>
      <c r="S22" s="29">
        <f t="shared" si="6"/>
        <v>0.29432380861797158</v>
      </c>
      <c r="X22" s="16" t="s">
        <v>22</v>
      </c>
      <c r="Y22" s="17">
        <v>39</v>
      </c>
      <c r="Z22" s="13">
        <f t="shared" si="7"/>
        <v>103</v>
      </c>
      <c r="AA22" s="14">
        <v>0.21</v>
      </c>
      <c r="AB22" s="12">
        <f>Z22*AB13*AA22</f>
        <v>25.956</v>
      </c>
      <c r="AC22" s="12">
        <f>Z22*0.85*AB14</f>
        <v>306.42500000000001</v>
      </c>
      <c r="AD22" s="12">
        <f t="shared" si="8"/>
        <v>332.38100000000003</v>
      </c>
      <c r="AE22" s="17">
        <v>87</v>
      </c>
    </row>
    <row r="23" spans="8:32">
      <c r="H23" s="16" t="s">
        <v>46</v>
      </c>
      <c r="I23" s="2">
        <v>150</v>
      </c>
      <c r="J23" s="2">
        <f t="shared" si="0"/>
        <v>165</v>
      </c>
      <c r="K23" s="22">
        <f>AD30</f>
        <v>900.7174</v>
      </c>
      <c r="L23" s="2">
        <v>160</v>
      </c>
      <c r="M23" s="23">
        <f t="shared" si="1"/>
        <v>130.90909090909091</v>
      </c>
      <c r="N23" s="23">
        <f t="shared" si="2"/>
        <v>170327.96987179489</v>
      </c>
      <c r="O23" s="26">
        <f t="shared" si="3"/>
        <v>1.6100668431733453E-2</v>
      </c>
      <c r="P23" s="24">
        <f t="shared" si="4"/>
        <v>3.146688672651563E-6</v>
      </c>
      <c r="Q23" s="24">
        <f t="shared" si="5"/>
        <v>5.1920363098750789E-4</v>
      </c>
      <c r="R23" s="28">
        <f t="shared" si="9"/>
        <v>0.29432380861797158</v>
      </c>
      <c r="S23" s="29">
        <f t="shared" si="6"/>
        <v>0.29366491132941375</v>
      </c>
      <c r="X23" s="16" t="s">
        <v>23</v>
      </c>
      <c r="Y23" s="17">
        <v>36</v>
      </c>
      <c r="Z23" s="13">
        <f t="shared" si="7"/>
        <v>139</v>
      </c>
      <c r="AA23" s="14">
        <v>0.21</v>
      </c>
      <c r="AB23" s="12">
        <f>Z23*AB13*AA23</f>
        <v>35.027999999999992</v>
      </c>
      <c r="AC23" s="12">
        <f>Z23*0.85*AB14</f>
        <v>413.52499999999998</v>
      </c>
      <c r="AD23" s="12">
        <f t="shared" si="8"/>
        <v>448.553</v>
      </c>
      <c r="AE23" s="17">
        <v>83</v>
      </c>
    </row>
    <row r="24" spans="8:32">
      <c r="H24" s="16" t="s">
        <v>47</v>
      </c>
      <c r="I24" s="2">
        <v>190</v>
      </c>
      <c r="J24" s="2">
        <f t="shared" si="0"/>
        <v>209</v>
      </c>
      <c r="K24" s="22">
        <f>AD29</f>
        <v>850.38499999999999</v>
      </c>
      <c r="L24" s="2">
        <v>160</v>
      </c>
      <c r="M24" s="23">
        <f t="shared" si="1"/>
        <v>130.90909090909091</v>
      </c>
      <c r="N24" s="23">
        <f t="shared" si="2"/>
        <v>160809.98397435897</v>
      </c>
      <c r="O24" s="26">
        <f t="shared" si="3"/>
        <v>1.6287998271880936E-2</v>
      </c>
      <c r="P24" s="24">
        <f t="shared" si="4"/>
        <v>2.8374725051364676E-6</v>
      </c>
      <c r="Q24" s="24">
        <f t="shared" si="5"/>
        <v>5.9303175357352177E-4</v>
      </c>
      <c r="R24" s="28">
        <f t="shared" si="9"/>
        <v>0.29366491132941375</v>
      </c>
      <c r="S24" s="29">
        <f t="shared" si="6"/>
        <v>0.29291097039713931</v>
      </c>
      <c r="X24" s="16" t="s">
        <v>24</v>
      </c>
      <c r="Y24" s="17">
        <v>35</v>
      </c>
      <c r="Z24" s="13">
        <f t="shared" si="7"/>
        <v>174</v>
      </c>
      <c r="AA24" s="14">
        <v>0.20499999999999999</v>
      </c>
      <c r="AB24" s="12">
        <f>Z24*AB13*AA24</f>
        <v>42.803999999999995</v>
      </c>
      <c r="AC24" s="12">
        <f>Z24*0.85*AB14</f>
        <v>517.65</v>
      </c>
      <c r="AD24" s="12">
        <f t="shared" si="8"/>
        <v>560.45399999999995</v>
      </c>
      <c r="AE24" s="17">
        <v>103</v>
      </c>
    </row>
    <row r="25" spans="8:32">
      <c r="H25" s="16" t="s">
        <v>49</v>
      </c>
      <c r="I25" s="2">
        <v>700</v>
      </c>
      <c r="J25" s="2">
        <f t="shared" si="0"/>
        <v>770</v>
      </c>
      <c r="K25" s="22">
        <f>AD28</f>
        <v>808.66799999999989</v>
      </c>
      <c r="L25" s="2">
        <v>160</v>
      </c>
      <c r="M25" s="23">
        <f t="shared" si="1"/>
        <v>130.90909090909091</v>
      </c>
      <c r="N25" s="23">
        <f t="shared" si="2"/>
        <v>152921.19230769228</v>
      </c>
      <c r="O25" s="26">
        <f t="shared" si="3"/>
        <v>1.6454560670081494E-2</v>
      </c>
      <c r="P25" s="24">
        <f t="shared" si="4"/>
        <v>2.5921466760958211E-6</v>
      </c>
      <c r="Q25" s="24">
        <f t="shared" si="5"/>
        <v>1.9959529405937822E-3</v>
      </c>
      <c r="R25" s="28">
        <f t="shared" si="9"/>
        <v>0.29291097039713931</v>
      </c>
      <c r="S25" s="29">
        <f t="shared" si="6"/>
        <v>0.29036275144771162</v>
      </c>
      <c r="X25" s="16" t="s">
        <v>25</v>
      </c>
      <c r="Y25" s="17">
        <v>16</v>
      </c>
      <c r="Z25" s="13">
        <f t="shared" si="7"/>
        <v>190</v>
      </c>
      <c r="AA25" s="14">
        <v>0.2</v>
      </c>
      <c r="AB25" s="12">
        <f>Z25*AB13*AA25</f>
        <v>45.6</v>
      </c>
      <c r="AC25" s="12">
        <f>Z25*0.85*AB14</f>
        <v>565.25</v>
      </c>
      <c r="AD25" s="12">
        <f t="shared" si="8"/>
        <v>610.85</v>
      </c>
      <c r="AE25" s="17">
        <v>40</v>
      </c>
    </row>
    <row r="26" spans="8:32">
      <c r="H26" s="16" t="s">
        <v>48</v>
      </c>
      <c r="I26" s="2">
        <v>375</v>
      </c>
      <c r="J26" s="2">
        <f t="shared" si="0"/>
        <v>412.5</v>
      </c>
      <c r="K26" s="22">
        <f>AD27</f>
        <v>789.41399999999999</v>
      </c>
      <c r="L26" s="2">
        <v>110</v>
      </c>
      <c r="M26" s="23">
        <f t="shared" si="1"/>
        <v>90</v>
      </c>
      <c r="N26" s="23">
        <f t="shared" si="2"/>
        <v>217134.85314685316</v>
      </c>
      <c r="O26" s="26">
        <f t="shared" si="3"/>
        <v>1.5344278585533137E-2</v>
      </c>
      <c r="P26" s="24">
        <f t="shared" si="4"/>
        <v>1.4997724652120006E-5</v>
      </c>
      <c r="Q26" s="24">
        <f t="shared" si="5"/>
        <v>6.1865614189995028E-3</v>
      </c>
      <c r="R26" s="28">
        <f t="shared" si="9"/>
        <v>0.29036275144771162</v>
      </c>
      <c r="S26" s="29">
        <f t="shared" si="6"/>
        <v>0.28235653034678032</v>
      </c>
      <c r="X26" s="16" t="s">
        <v>26</v>
      </c>
      <c r="Y26" s="17">
        <v>27</v>
      </c>
      <c r="Z26" s="13">
        <f t="shared" si="7"/>
        <v>217</v>
      </c>
      <c r="AA26" s="14">
        <v>0.2</v>
      </c>
      <c r="AB26" s="12">
        <f>Z26*AB13*AA26</f>
        <v>52.08</v>
      </c>
      <c r="AC26" s="12">
        <f>Z26*0.85*AB14</f>
        <v>645.57499999999993</v>
      </c>
      <c r="AD26" s="12">
        <f t="shared" si="8"/>
        <v>697.65499999999997</v>
      </c>
      <c r="AE26" s="17">
        <v>110</v>
      </c>
    </row>
    <row r="27" spans="8:32">
      <c r="H27" s="16" t="s">
        <v>50</v>
      </c>
      <c r="I27" s="2">
        <v>110</v>
      </c>
      <c r="J27" s="2">
        <f t="shared" si="0"/>
        <v>121</v>
      </c>
      <c r="K27" s="22">
        <f>AD26</f>
        <v>697.65499999999997</v>
      </c>
      <c r="L27" s="2">
        <v>110</v>
      </c>
      <c r="M27" s="23">
        <f t="shared" si="1"/>
        <v>90</v>
      </c>
      <c r="N27" s="23">
        <f t="shared" si="2"/>
        <v>191895.7808857809</v>
      </c>
      <c r="O27" s="26">
        <f t="shared" si="3"/>
        <v>1.5722409838525492E-2</v>
      </c>
      <c r="P27" s="24">
        <f t="shared" si="4"/>
        <v>1.2002446751687075E-5</v>
      </c>
      <c r="Q27" s="24">
        <f t="shared" si="5"/>
        <v>1.4522960569541359E-3</v>
      </c>
      <c r="R27" s="28">
        <f t="shared" si="9"/>
        <v>0.28235653034678032</v>
      </c>
      <c r="S27" s="29">
        <f t="shared" si="6"/>
        <v>0.28045265177400747</v>
      </c>
      <c r="X27" s="16" t="s">
        <v>27</v>
      </c>
      <c r="Y27" s="17">
        <v>29</v>
      </c>
      <c r="Z27" s="13">
        <f t="shared" si="7"/>
        <v>246</v>
      </c>
      <c r="AA27" s="14">
        <v>0.19500000000000001</v>
      </c>
      <c r="AB27" s="12">
        <f>Z27*AB13*AA27</f>
        <v>57.564</v>
      </c>
      <c r="AC27" s="12">
        <f>Z27*0.85*AB14</f>
        <v>731.85</v>
      </c>
      <c r="AD27" s="12">
        <f t="shared" si="8"/>
        <v>789.41399999999999</v>
      </c>
      <c r="AE27" s="17">
        <v>375</v>
      </c>
    </row>
    <row r="28" spans="8:32">
      <c r="H28" s="16" t="s">
        <v>51</v>
      </c>
      <c r="I28" s="2">
        <v>40</v>
      </c>
      <c r="J28" s="2">
        <f t="shared" si="0"/>
        <v>44</v>
      </c>
      <c r="K28" s="22">
        <f>AD25</f>
        <v>610.85</v>
      </c>
      <c r="L28" s="2">
        <v>110</v>
      </c>
      <c r="M28" s="23">
        <f t="shared" si="1"/>
        <v>90</v>
      </c>
      <c r="N28" s="23">
        <f t="shared" si="2"/>
        <v>168019.34731934735</v>
      </c>
      <c r="O28" s="26">
        <f t="shared" si="3"/>
        <v>1.6144832677718247E-2</v>
      </c>
      <c r="P28" s="24">
        <f t="shared" si="4"/>
        <v>9.4486977689719392E-6</v>
      </c>
      <c r="Q28" s="24">
        <f t="shared" si="5"/>
        <v>4.157427018347653E-4</v>
      </c>
      <c r="R28" s="28">
        <f t="shared" si="9"/>
        <v>0.28045265177400747</v>
      </c>
      <c r="S28" s="29">
        <f t="shared" si="6"/>
        <v>0.27990587984399429</v>
      </c>
      <c r="X28" s="16" t="s">
        <v>28</v>
      </c>
      <c r="Y28" s="17">
        <v>6</v>
      </c>
      <c r="Z28" s="13">
        <f t="shared" si="7"/>
        <v>252</v>
      </c>
      <c r="AA28" s="14">
        <v>0.19500000000000001</v>
      </c>
      <c r="AB28" s="12">
        <f>Z28*AB13*AA28</f>
        <v>58.967999999999996</v>
      </c>
      <c r="AC28" s="12">
        <f>Z28*0.85*AB14</f>
        <v>749.69999999999993</v>
      </c>
      <c r="AD28" s="12">
        <f t="shared" si="8"/>
        <v>808.66799999999989</v>
      </c>
      <c r="AE28" s="17">
        <v>700</v>
      </c>
    </row>
    <row r="29" spans="8:32">
      <c r="H29" s="16" t="s">
        <v>52</v>
      </c>
      <c r="I29" s="2">
        <v>103</v>
      </c>
      <c r="J29" s="2">
        <f t="shared" si="0"/>
        <v>113.3</v>
      </c>
      <c r="K29" s="22">
        <f>AD24</f>
        <v>560.45399999999995</v>
      </c>
      <c r="L29" s="2">
        <v>110</v>
      </c>
      <c r="M29" s="23">
        <f t="shared" si="1"/>
        <v>90</v>
      </c>
      <c r="N29" s="23">
        <f t="shared" si="2"/>
        <v>154157.51048951046</v>
      </c>
      <c r="O29" s="26">
        <f t="shared" si="3"/>
        <v>1.6427725988991924E-2</v>
      </c>
      <c r="P29" s="24">
        <f t="shared" si="4"/>
        <v>8.093318827646308E-6</v>
      </c>
      <c r="Q29" s="24">
        <f t="shared" si="5"/>
        <v>9.1697302317232665E-4</v>
      </c>
      <c r="R29" s="28">
        <f t="shared" si="9"/>
        <v>0.27990587984399429</v>
      </c>
      <c r="S29" s="29">
        <f t="shared" si="6"/>
        <v>0.27869711448183376</v>
      </c>
      <c r="X29" s="16" t="s">
        <v>29</v>
      </c>
      <c r="Y29" s="17">
        <v>13</v>
      </c>
      <c r="Z29" s="13">
        <f t="shared" si="7"/>
        <v>265</v>
      </c>
      <c r="AA29" s="14">
        <v>0.19500000000000001</v>
      </c>
      <c r="AB29" s="12">
        <f>Z29*AB13*AA29</f>
        <v>62.010000000000005</v>
      </c>
      <c r="AC29" s="12">
        <f>Z29*0.85*AB14</f>
        <v>788.375</v>
      </c>
      <c r="AD29" s="12">
        <f t="shared" si="8"/>
        <v>850.38499999999999</v>
      </c>
      <c r="AE29" s="17">
        <v>190</v>
      </c>
    </row>
    <row r="30" spans="8:32">
      <c r="H30" s="16" t="s">
        <v>53</v>
      </c>
      <c r="I30" s="2">
        <v>83</v>
      </c>
      <c r="J30" s="2">
        <f t="shared" si="0"/>
        <v>91.3</v>
      </c>
      <c r="K30" s="22">
        <f>AD23</f>
        <v>448.553</v>
      </c>
      <c r="L30" s="2">
        <v>110</v>
      </c>
      <c r="M30" s="23">
        <f t="shared" si="1"/>
        <v>90</v>
      </c>
      <c r="N30" s="23">
        <f t="shared" si="2"/>
        <v>123378.21445221445</v>
      </c>
      <c r="O30" s="26">
        <f t="shared" si="3"/>
        <v>1.7194923327945984E-2</v>
      </c>
      <c r="P30" s="24">
        <f t="shared" si="4"/>
        <v>5.426215376942655E-6</v>
      </c>
      <c r="Q30" s="24">
        <f t="shared" si="5"/>
        <v>4.9541346391486442E-4</v>
      </c>
      <c r="R30" s="28">
        <f t="shared" si="9"/>
        <v>0.27869711448183376</v>
      </c>
      <c r="S30" s="29">
        <f t="shared" si="6"/>
        <v>0.27804244609957784</v>
      </c>
      <c r="X30" s="16" t="s">
        <v>30</v>
      </c>
      <c r="Y30" s="17">
        <v>16</v>
      </c>
      <c r="Z30" s="13">
        <f t="shared" si="7"/>
        <v>281</v>
      </c>
      <c r="AA30" s="14">
        <v>0.192</v>
      </c>
      <c r="AB30" s="12">
        <f>Z30*AB13*AA30</f>
        <v>64.742400000000004</v>
      </c>
      <c r="AC30" s="12">
        <f>Z30*0.85*AB14</f>
        <v>835.97500000000002</v>
      </c>
      <c r="AD30" s="12">
        <f t="shared" si="8"/>
        <v>900.7174</v>
      </c>
      <c r="AE30" s="17">
        <v>150</v>
      </c>
    </row>
    <row r="31" spans="8:32">
      <c r="H31" s="16" t="s">
        <v>54</v>
      </c>
      <c r="I31" s="2">
        <v>87</v>
      </c>
      <c r="J31" s="2">
        <f t="shared" si="0"/>
        <v>95.7</v>
      </c>
      <c r="K31" s="22">
        <f>AD22</f>
        <v>332.38100000000003</v>
      </c>
      <c r="L31" s="2">
        <v>110</v>
      </c>
      <c r="M31" s="23">
        <f t="shared" si="1"/>
        <v>90</v>
      </c>
      <c r="N31" s="23">
        <f t="shared" si="2"/>
        <v>91424.144522144517</v>
      </c>
      <c r="O31" s="26">
        <f>1/((1.82*LOG(N31)-1.64)^2)</f>
        <v>1.8315268327902666E-2</v>
      </c>
      <c r="P31" s="24">
        <f t="shared" si="4"/>
        <v>3.1736199584272665E-6</v>
      </c>
      <c r="Q31" s="24">
        <f t="shared" si="5"/>
        <v>3.0371543002148942E-4</v>
      </c>
      <c r="R31" s="28">
        <f t="shared" si="9"/>
        <v>0.27804244609957784</v>
      </c>
      <c r="S31" s="29">
        <f t="shared" si="6"/>
        <v>0.27764053757896634</v>
      </c>
      <c r="X31" s="16" t="s">
        <v>31</v>
      </c>
      <c r="Y31" s="17">
        <v>15</v>
      </c>
      <c r="Z31" s="13">
        <f t="shared" si="7"/>
        <v>296</v>
      </c>
      <c r="AA31" s="14">
        <v>0.19</v>
      </c>
      <c r="AB31" s="12">
        <f>Z31*AB13*AA31</f>
        <v>67.488</v>
      </c>
      <c r="AC31" s="12">
        <f>Z31*0.85*AB14</f>
        <v>880.6</v>
      </c>
      <c r="AD31" s="12">
        <f t="shared" si="8"/>
        <v>948.08799999999997</v>
      </c>
      <c r="AE31" s="17">
        <v>125</v>
      </c>
    </row>
    <row r="32" spans="8:32">
      <c r="H32" s="16" t="s">
        <v>55</v>
      </c>
      <c r="I32" s="2">
        <v>86</v>
      </c>
      <c r="J32" s="2">
        <f t="shared" si="0"/>
        <v>94.6</v>
      </c>
      <c r="K32" s="22">
        <f>AD21</f>
        <v>207.29599999999999</v>
      </c>
      <c r="L32" s="2">
        <v>110</v>
      </c>
      <c r="M32" s="23">
        <f t="shared" si="1"/>
        <v>90</v>
      </c>
      <c r="N32" s="23">
        <f t="shared" si="2"/>
        <v>57018.480186480185</v>
      </c>
      <c r="O32" s="26">
        <f t="shared" si="3"/>
        <v>2.0315486178651518E-2</v>
      </c>
      <c r="P32" s="24">
        <f t="shared" si="4"/>
        <v>1.369236024441165E-6</v>
      </c>
      <c r="Q32" s="24">
        <f t="shared" si="5"/>
        <v>1.2952972791213421E-4</v>
      </c>
      <c r="R32" s="28">
        <f t="shared" si="9"/>
        <v>0.27764053757896634</v>
      </c>
      <c r="S32" s="29">
        <f t="shared" si="6"/>
        <v>0.2774689999126001</v>
      </c>
      <c r="X32" s="16" t="s">
        <v>32</v>
      </c>
      <c r="Y32" s="17">
        <v>14</v>
      </c>
      <c r="Z32" s="13">
        <f t="shared" si="7"/>
        <v>310</v>
      </c>
      <c r="AA32" s="14">
        <v>0.19</v>
      </c>
      <c r="AB32" s="12">
        <f>Z32*AB13*AA32</f>
        <v>70.680000000000007</v>
      </c>
      <c r="AC32" s="12">
        <f>Z32*0.85*AB14</f>
        <v>922.25</v>
      </c>
      <c r="AD32" s="12">
        <f t="shared" si="8"/>
        <v>992.93000000000006</v>
      </c>
      <c r="AE32" s="17">
        <v>125</v>
      </c>
    </row>
    <row r="33" spans="8:32">
      <c r="H33" s="16" t="s">
        <v>56</v>
      </c>
      <c r="I33" s="2">
        <v>86</v>
      </c>
      <c r="J33" s="2">
        <f t="shared" si="0"/>
        <v>94.6</v>
      </c>
      <c r="K33" s="22">
        <f>AD20</f>
        <v>100.81819999999999</v>
      </c>
      <c r="L33" s="27">
        <v>63</v>
      </c>
      <c r="M33" s="23">
        <f t="shared" si="1"/>
        <v>51.545454545454547</v>
      </c>
      <c r="N33" s="23">
        <f t="shared" si="2"/>
        <v>48418.997150997144</v>
      </c>
      <c r="O33" s="26">
        <f t="shared" si="3"/>
        <v>2.1085021407150149E-2</v>
      </c>
      <c r="P33" s="24">
        <f t="shared" si="4"/>
        <v>5.4548379869141402E-6</v>
      </c>
      <c r="Q33" s="24">
        <f t="shared" si="5"/>
        <v>5.160276735620776E-4</v>
      </c>
      <c r="R33" s="28">
        <f t="shared" si="9"/>
        <v>0.2774689999126001</v>
      </c>
      <c r="S33" s="29">
        <f t="shared" si="6"/>
        <v>0.27678484340729048</v>
      </c>
      <c r="X33" s="16" t="s">
        <v>33</v>
      </c>
      <c r="Y33" s="17">
        <v>15</v>
      </c>
      <c r="Z33" s="13">
        <f t="shared" si="7"/>
        <v>325</v>
      </c>
      <c r="AA33" s="14">
        <v>0.188</v>
      </c>
      <c r="AB33" s="12">
        <f>Z33*AB13*AA33</f>
        <v>73.319999999999993</v>
      </c>
      <c r="AC33" s="12">
        <f>Z33*0.85*AB14</f>
        <v>966.875</v>
      </c>
      <c r="AD33" s="12">
        <f t="shared" si="8"/>
        <v>1040.1949999999999</v>
      </c>
      <c r="AE33" s="17">
        <v>125</v>
      </c>
    </row>
    <row r="34" spans="8:32">
      <c r="H34" s="16" t="s">
        <v>57</v>
      </c>
      <c r="I34" s="2">
        <v>313</v>
      </c>
      <c r="J34" s="2">
        <f t="shared" si="0"/>
        <v>344.3</v>
      </c>
      <c r="K34" s="22">
        <f>AD19</f>
        <v>68.396999999999991</v>
      </c>
      <c r="L34" s="30">
        <v>63</v>
      </c>
      <c r="M34" s="23">
        <f t="shared" si="1"/>
        <v>51.545454545454547</v>
      </c>
      <c r="N34" s="23">
        <f t="shared" si="2"/>
        <v>32848.37606837607</v>
      </c>
      <c r="O34" s="26">
        <f t="shared" si="3"/>
        <v>2.3096220240652197E-2</v>
      </c>
      <c r="P34" s="24">
        <f t="shared" si="4"/>
        <v>2.750077609406988E-6</v>
      </c>
      <c r="Q34" s="24">
        <f t="shared" si="5"/>
        <v>9.4685172091882601E-4</v>
      </c>
      <c r="R34" s="28">
        <f t="shared" si="9"/>
        <v>0.27678484340729048</v>
      </c>
      <c r="S34" s="29">
        <f t="shared" si="6"/>
        <v>0.2755262527447816</v>
      </c>
      <c r="X34" s="16" t="s">
        <v>34</v>
      </c>
      <c r="Y34" s="17">
        <v>16</v>
      </c>
      <c r="Z34" s="13">
        <f t="shared" si="7"/>
        <v>341</v>
      </c>
      <c r="AA34" s="14">
        <v>0.186</v>
      </c>
      <c r="AB34" s="12">
        <f>Z34*AB13*AA34</f>
        <v>76.111199999999997</v>
      </c>
      <c r="AC34" s="12">
        <f>Z34*0.85*AB14</f>
        <v>1014.4749999999999</v>
      </c>
      <c r="AD34" s="12">
        <f t="shared" si="8"/>
        <v>1090.5862</v>
      </c>
      <c r="AE34" s="17">
        <v>125</v>
      </c>
    </row>
    <row r="35" spans="8:32">
      <c r="H35" s="16" t="s">
        <v>58</v>
      </c>
      <c r="I35" s="2">
        <v>118</v>
      </c>
      <c r="J35" s="2">
        <f t="shared" si="0"/>
        <v>129.80000000000001</v>
      </c>
      <c r="K35" s="22">
        <f>AD18</f>
        <v>26.344000000000001</v>
      </c>
      <c r="L35" s="30">
        <v>63</v>
      </c>
      <c r="M35" s="23">
        <f t="shared" si="1"/>
        <v>51.545454545454547</v>
      </c>
      <c r="N35" s="23">
        <f t="shared" si="2"/>
        <v>12651.982091982092</v>
      </c>
      <c r="O35" s="26">
        <f t="shared" si="3"/>
        <v>2.9462506081657659E-2</v>
      </c>
      <c r="P35" s="24">
        <f t="shared" si="4"/>
        <v>5.2043087303605269E-7</v>
      </c>
      <c r="Q35" s="24">
        <f t="shared" si="5"/>
        <v>6.7551927320079643E-5</v>
      </c>
      <c r="R35" s="28">
        <f t="shared" si="9"/>
        <v>0.2755262527447816</v>
      </c>
      <c r="S35" s="29">
        <f t="shared" si="6"/>
        <v>0.27543629895525223</v>
      </c>
      <c r="X35" s="16" t="s">
        <v>35</v>
      </c>
      <c r="Y35" s="17">
        <v>16</v>
      </c>
      <c r="Z35" s="13">
        <f t="shared" si="7"/>
        <v>357</v>
      </c>
      <c r="AA35" s="14">
        <v>0.185</v>
      </c>
      <c r="AB35" s="12">
        <f>Z35*AB13*AA35</f>
        <v>79.253999999999991</v>
      </c>
      <c r="AC35" s="12">
        <f>Z35*0.85*AB14</f>
        <v>1062.075</v>
      </c>
      <c r="AD35" s="12">
        <f t="shared" si="8"/>
        <v>1141.329</v>
      </c>
      <c r="AE35" s="17">
        <v>185</v>
      </c>
    </row>
    <row r="36" spans="8:32">
      <c r="H36" s="16" t="s">
        <v>59</v>
      </c>
      <c r="I36" s="2">
        <v>96</v>
      </c>
      <c r="J36" s="2">
        <f t="shared" si="0"/>
        <v>105.6</v>
      </c>
      <c r="K36" s="22">
        <f>AD17</f>
        <v>19.866</v>
      </c>
      <c r="L36" s="30">
        <v>63</v>
      </c>
      <c r="M36" s="23">
        <f t="shared" si="1"/>
        <v>51.545454545454547</v>
      </c>
      <c r="N36" s="23">
        <f t="shared" si="2"/>
        <v>9540.8547008547012</v>
      </c>
      <c r="O36" s="26">
        <f t="shared" si="3"/>
        <v>3.1855335724250707E-2</v>
      </c>
      <c r="P36" s="24">
        <f t="shared" si="4"/>
        <v>3.199874754706754E-7</v>
      </c>
      <c r="Q36" s="24">
        <f t="shared" si="5"/>
        <v>3.3790677409703323E-5</v>
      </c>
      <c r="R36" s="28">
        <f t="shared" si="9"/>
        <v>0.27543629895525223</v>
      </c>
      <c r="S36" s="29">
        <f t="shared" si="6"/>
        <v>0.27539129437935539</v>
      </c>
      <c r="X36" s="16" t="s">
        <v>36</v>
      </c>
      <c r="Y36" s="17">
        <v>6</v>
      </c>
      <c r="Z36" s="13">
        <f t="shared" si="7"/>
        <v>363</v>
      </c>
      <c r="AA36" s="14">
        <v>0.185</v>
      </c>
      <c r="AB36" s="12">
        <f>Z36*AB13*AA36</f>
        <v>80.585999999999999</v>
      </c>
      <c r="AC36" s="12">
        <f>Z36*0.85*AB14</f>
        <v>1079.925</v>
      </c>
      <c r="AD36" s="12">
        <f t="shared" si="8"/>
        <v>1160.511</v>
      </c>
      <c r="AE36" s="17">
        <v>250</v>
      </c>
    </row>
    <row r="37" spans="8:32">
      <c r="H37" s="4"/>
      <c r="I37" s="2"/>
      <c r="J37" s="2"/>
      <c r="K37" s="2"/>
      <c r="L37" s="2"/>
      <c r="M37" s="23"/>
      <c r="N37" s="23"/>
      <c r="O37" s="23"/>
      <c r="P37" s="2"/>
      <c r="Q37" s="2"/>
      <c r="R37" s="2"/>
      <c r="S37" s="3"/>
      <c r="X37" s="8"/>
      <c r="Y37" s="18"/>
      <c r="Z37" s="18"/>
      <c r="AA37" s="18"/>
      <c r="AB37" s="18"/>
      <c r="AC37" s="19"/>
      <c r="AD37" s="20"/>
      <c r="AE37" s="18">
        <f>SUM(AE17:AE36)</f>
        <v>3472</v>
      </c>
      <c r="AF37" s="1" t="s">
        <v>37</v>
      </c>
    </row>
    <row r="38" spans="8:32">
      <c r="H38" s="4"/>
      <c r="I38" s="2"/>
      <c r="J38" s="2"/>
      <c r="K38" s="2"/>
      <c r="L38" s="2"/>
      <c r="M38" s="23"/>
      <c r="N38" s="23"/>
      <c r="O38" s="23"/>
      <c r="P38" s="2"/>
      <c r="Q38" s="2"/>
      <c r="R38" s="2"/>
      <c r="S38" s="3"/>
      <c r="X38" s="8"/>
      <c r="Y38" s="18"/>
      <c r="Z38" s="18"/>
      <c r="AA38" s="18" t="s">
        <v>38</v>
      </c>
      <c r="AB38" s="21">
        <f>AB36+AC36</f>
        <v>1160.511</v>
      </c>
      <c r="AC38" s="18" t="s">
        <v>39</v>
      </c>
      <c r="AD38" s="18"/>
      <c r="AE38" s="18"/>
    </row>
    <row r="39" spans="8:32">
      <c r="H39" s="4"/>
      <c r="I39" s="2"/>
      <c r="J39" s="2"/>
      <c r="K39" s="2"/>
      <c r="L39" s="2"/>
      <c r="M39" s="23"/>
      <c r="N39" s="23"/>
      <c r="O39" s="23"/>
      <c r="P39" s="2"/>
      <c r="Q39" s="2"/>
      <c r="R39" s="2"/>
      <c r="S39" s="3"/>
    </row>
    <row r="40" spans="8:32">
      <c r="H40" s="4"/>
      <c r="I40" s="2"/>
      <c r="J40" s="2"/>
      <c r="K40" s="2"/>
      <c r="L40" s="2"/>
      <c r="M40" s="23"/>
      <c r="N40" s="23"/>
      <c r="O40" s="23"/>
      <c r="P40" s="2"/>
      <c r="Q40" s="2"/>
      <c r="R40" s="2"/>
      <c r="S40" s="3"/>
    </row>
    <row r="41" spans="8:32" ht="19.5" thickBot="1">
      <c r="H41" s="5"/>
      <c r="I41" s="6"/>
      <c r="J41" s="6"/>
      <c r="K41" s="6"/>
      <c r="L41" s="6"/>
      <c r="M41" s="25"/>
      <c r="N41" s="25"/>
      <c r="O41" s="25"/>
      <c r="P41" s="6"/>
      <c r="Q41" s="6"/>
      <c r="R41" s="6"/>
      <c r="S41" s="7"/>
    </row>
    <row r="42" spans="8:32" ht="19.5" thickTop="1"/>
    <row r="44" spans="8:32"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8:32"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8:32"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8:32">
      <c r="H47"/>
      <c r="I47"/>
      <c r="J47"/>
      <c r="K47"/>
      <c r="L47"/>
      <c r="M47"/>
      <c r="N47"/>
      <c r="O47"/>
      <c r="P47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8:32"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50" spans="8:32">
      <c r="I50" s="79" t="s">
        <v>67</v>
      </c>
      <c r="J50" s="81"/>
      <c r="K50" s="81"/>
      <c r="L50" s="81"/>
      <c r="M50" s="81"/>
      <c r="N50" s="81"/>
      <c r="O50" s="81"/>
      <c r="P50" s="81"/>
      <c r="Q50" s="81"/>
      <c r="R50" s="81"/>
    </row>
    <row r="51" spans="8:32" ht="19.5" customHeight="1">
      <c r="I51" s="81"/>
      <c r="J51" s="81"/>
      <c r="K51" s="81"/>
      <c r="L51" s="81"/>
      <c r="M51" s="81"/>
      <c r="N51" s="81"/>
      <c r="O51" s="81"/>
      <c r="P51" s="81"/>
      <c r="Q51" s="81"/>
      <c r="R51" s="81"/>
      <c r="Z51" s="1" t="s">
        <v>8</v>
      </c>
      <c r="AB51" s="9">
        <v>1.2</v>
      </c>
      <c r="AC51" s="9"/>
      <c r="AD51" s="9"/>
    </row>
    <row r="52" spans="8:32" ht="18" customHeight="1" thickBot="1">
      <c r="Z52" s="1" t="s">
        <v>68</v>
      </c>
      <c r="AB52" s="9">
        <v>3.5</v>
      </c>
      <c r="AC52" s="1" t="s">
        <v>9</v>
      </c>
    </row>
    <row r="53" spans="8:32" ht="33" customHeight="1" thickTop="1">
      <c r="H53" s="73" t="s">
        <v>0</v>
      </c>
      <c r="I53" s="75" t="s">
        <v>61</v>
      </c>
      <c r="J53" s="75"/>
      <c r="K53" s="75" t="s">
        <v>1</v>
      </c>
      <c r="L53" s="75" t="s">
        <v>60</v>
      </c>
      <c r="M53" s="75" t="s">
        <v>63</v>
      </c>
      <c r="N53" s="77" t="s">
        <v>64</v>
      </c>
      <c r="O53" s="77" t="s">
        <v>65</v>
      </c>
      <c r="P53" s="75" t="s">
        <v>2</v>
      </c>
      <c r="Q53" s="75" t="s">
        <v>3</v>
      </c>
      <c r="R53" s="75" t="s">
        <v>66</v>
      </c>
      <c r="S53" s="80"/>
    </row>
    <row r="54" spans="8:32" ht="75">
      <c r="H54" s="74"/>
      <c r="I54" s="30" t="s">
        <v>4</v>
      </c>
      <c r="J54" s="30" t="s">
        <v>5</v>
      </c>
      <c r="K54" s="76"/>
      <c r="L54" s="76"/>
      <c r="M54" s="76"/>
      <c r="N54" s="78"/>
      <c r="O54" s="78"/>
      <c r="P54" s="76"/>
      <c r="Q54" s="76"/>
      <c r="R54" s="30" t="s">
        <v>6</v>
      </c>
      <c r="S54" s="3" t="s">
        <v>7</v>
      </c>
      <c r="X54" s="10" t="s">
        <v>10</v>
      </c>
      <c r="Y54" s="10" t="s">
        <v>11</v>
      </c>
      <c r="Z54" s="10" t="s">
        <v>12</v>
      </c>
      <c r="AA54" s="10" t="s">
        <v>62</v>
      </c>
      <c r="AB54" s="10" t="s">
        <v>13</v>
      </c>
      <c r="AC54" s="10" t="s">
        <v>14</v>
      </c>
      <c r="AD54" s="10" t="s">
        <v>15</v>
      </c>
      <c r="AE54" s="10" t="s">
        <v>16</v>
      </c>
    </row>
    <row r="55" spans="8:32">
      <c r="H55" s="12" t="s">
        <v>40</v>
      </c>
      <c r="I55" s="30">
        <v>250</v>
      </c>
      <c r="J55" s="30">
        <f t="shared" ref="J55:J74" si="10">I55+(I55*0.1)</f>
        <v>275</v>
      </c>
      <c r="K55" s="22">
        <f>AD74</f>
        <v>1713.567</v>
      </c>
      <c r="L55" s="30">
        <v>160</v>
      </c>
      <c r="M55" s="23">
        <f>L55-(2*L55/11)</f>
        <v>130.90909090909091</v>
      </c>
      <c r="N55" s="23">
        <f>0.0354*K55*10^6*10/(M55*14.3)</f>
        <v>324039.91346153844</v>
      </c>
      <c r="O55" s="26">
        <f>1/((1.82*LOG(N55)-1.64)^2)</f>
        <v>1.420854671747776E-2</v>
      </c>
      <c r="P55" s="30">
        <f>1.2687*0.73*O55*K55*K55/(((M55/10)^5)*10^4)</f>
        <v>1.0050429110081961E-5</v>
      </c>
      <c r="Q55" s="30">
        <f>J55*P55</f>
        <v>2.7638680052725394E-3</v>
      </c>
      <c r="R55" s="28">
        <v>0.3</v>
      </c>
      <c r="S55" s="29">
        <f>SQRT((0.1+R55)^2-Q55)-0.1</f>
        <v>0.29653011486484537</v>
      </c>
      <c r="X55" s="12" t="s">
        <v>17</v>
      </c>
      <c r="Y55" s="13">
        <v>180</v>
      </c>
      <c r="Z55" s="13">
        <f>Y55</f>
        <v>180</v>
      </c>
      <c r="AA55" s="14">
        <f>(210-((Z55-100)/10))/1000</f>
        <v>0.20200000000000001</v>
      </c>
      <c r="AB55" s="12">
        <f>Z55*AB51*AA55</f>
        <v>43.632000000000005</v>
      </c>
      <c r="AC55" s="12">
        <f>Z55*0.85*AB52</f>
        <v>535.5</v>
      </c>
      <c r="AD55" s="12">
        <f>AB55+AC55</f>
        <v>579.13200000000006</v>
      </c>
      <c r="AE55" s="13">
        <v>96</v>
      </c>
      <c r="AF55" s="11"/>
    </row>
    <row r="56" spans="8:32">
      <c r="H56" s="15" t="s">
        <v>41</v>
      </c>
      <c r="I56" s="30">
        <v>185</v>
      </c>
      <c r="J56" s="30">
        <f t="shared" si="10"/>
        <v>203.5</v>
      </c>
      <c r="K56" s="22">
        <f>AD73</f>
        <v>1694.4209999999998</v>
      </c>
      <c r="L56" s="30">
        <v>160</v>
      </c>
      <c r="M56" s="23">
        <f t="shared" ref="M56:M74" si="11">L56-(2*L56/11)</f>
        <v>130.90909090909091</v>
      </c>
      <c r="N56" s="23">
        <f t="shared" ref="N56:N74" si="12">0.0354*K56*10^6*10/(M56*14.3)</f>
        <v>320419.35576923069</v>
      </c>
      <c r="O56" s="26">
        <f t="shared" ref="O56:O68" si="13">1/((1.82*LOG(N56)-1.64)^2)</f>
        <v>1.4238677805218643E-2</v>
      </c>
      <c r="P56" s="30">
        <f t="shared" ref="P56:P74" si="14">1.2687*0.73*O56*K56*K56/(((M56/10)^5)*10^4)</f>
        <v>9.8479328521556909E-6</v>
      </c>
      <c r="Q56" s="30">
        <f t="shared" ref="Q56:Q74" si="15">J56*P56</f>
        <v>2.0040543354136833E-3</v>
      </c>
      <c r="R56" s="28">
        <f>S55</f>
        <v>0.29653011486484537</v>
      </c>
      <c r="S56" s="29">
        <f t="shared" ref="S56:S74" si="16">SQRT((0.1+R56)^2-Q56)-0.1</f>
        <v>0.29399502237885411</v>
      </c>
      <c r="X56" s="15" t="s">
        <v>18</v>
      </c>
      <c r="Y56" s="13">
        <v>2</v>
      </c>
      <c r="Z56" s="13">
        <f t="shared" ref="Z56:Z74" si="17">Y56+Z55</f>
        <v>182</v>
      </c>
      <c r="AA56" s="14">
        <f t="shared" ref="AA56:AA64" si="18">(210-((Z56-100)/10))/1000</f>
        <v>0.20180000000000001</v>
      </c>
      <c r="AB56" s="12">
        <f>Z56*AB51*AA56</f>
        <v>44.073120000000003</v>
      </c>
      <c r="AC56" s="12">
        <f>Z56*0.85*AB52</f>
        <v>541.44999999999993</v>
      </c>
      <c r="AD56" s="12">
        <f t="shared" ref="AD56:AD74" si="19">AB56+AC56</f>
        <v>585.52311999999995</v>
      </c>
      <c r="AE56" s="13">
        <v>118</v>
      </c>
      <c r="AF56" s="11"/>
    </row>
    <row r="57" spans="8:32">
      <c r="H57" s="15" t="s">
        <v>42</v>
      </c>
      <c r="I57" s="30">
        <v>125</v>
      </c>
      <c r="J57" s="30">
        <f t="shared" si="10"/>
        <v>137.5</v>
      </c>
      <c r="K57" s="22">
        <f>AD72</f>
        <v>1643.365</v>
      </c>
      <c r="L57" s="30">
        <v>160</v>
      </c>
      <c r="M57" s="23">
        <f t="shared" si="11"/>
        <v>130.90909090909091</v>
      </c>
      <c r="N57" s="23">
        <f t="shared" si="12"/>
        <v>310764.53525641031</v>
      </c>
      <c r="O57" s="26">
        <f t="shared" si="13"/>
        <v>1.4321210373122005E-2</v>
      </c>
      <c r="P57" s="30">
        <f t="shared" si="14"/>
        <v>9.3170956964907512E-6</v>
      </c>
      <c r="Q57" s="30">
        <f t="shared" si="15"/>
        <v>1.2811006582674784E-3</v>
      </c>
      <c r="R57" s="28">
        <f t="shared" ref="R57:R74" si="20">S56</f>
        <v>0.29399502237885411</v>
      </c>
      <c r="S57" s="29">
        <f t="shared" si="16"/>
        <v>0.29236587135102143</v>
      </c>
      <c r="X57" s="15" t="s">
        <v>19</v>
      </c>
      <c r="Y57" s="13">
        <v>13</v>
      </c>
      <c r="Z57" s="13">
        <f t="shared" si="17"/>
        <v>195</v>
      </c>
      <c r="AA57" s="14">
        <f t="shared" si="18"/>
        <v>0.20050000000000001</v>
      </c>
      <c r="AB57" s="12">
        <f>Z57*AB51*AA57</f>
        <v>46.917000000000002</v>
      </c>
      <c r="AC57" s="12">
        <f>Z57*0.85*AB52</f>
        <v>580.125</v>
      </c>
      <c r="AD57" s="12">
        <f t="shared" si="19"/>
        <v>627.04200000000003</v>
      </c>
      <c r="AE57" s="13">
        <v>313</v>
      </c>
      <c r="AF57" s="11"/>
    </row>
    <row r="58" spans="8:32">
      <c r="H58" s="15" t="s">
        <v>43</v>
      </c>
      <c r="I58" s="30">
        <v>125</v>
      </c>
      <c r="J58" s="30">
        <f t="shared" si="10"/>
        <v>137.5</v>
      </c>
      <c r="K58" s="22">
        <f>AD71</f>
        <v>1592.3089999999997</v>
      </c>
      <c r="L58" s="30">
        <v>160</v>
      </c>
      <c r="M58" s="23">
        <f t="shared" si="11"/>
        <v>130.90909090909091</v>
      </c>
      <c r="N58" s="23">
        <f t="shared" si="12"/>
        <v>301109.71474358975</v>
      </c>
      <c r="O58" s="26">
        <f t="shared" si="13"/>
        <v>1.4407102136802144E-2</v>
      </c>
      <c r="P58" s="30">
        <f t="shared" si="14"/>
        <v>8.7996236848030249E-6</v>
      </c>
      <c r="Q58" s="30">
        <f t="shared" si="15"/>
        <v>1.209948256660416E-3</v>
      </c>
      <c r="R58" s="28">
        <f t="shared" si="20"/>
        <v>0.29236587135102143</v>
      </c>
      <c r="S58" s="29">
        <f t="shared" si="16"/>
        <v>0.29082096763657128</v>
      </c>
      <c r="X58" s="15" t="s">
        <v>20</v>
      </c>
      <c r="Y58" s="13">
        <v>10</v>
      </c>
      <c r="Z58" s="13">
        <f t="shared" si="17"/>
        <v>205</v>
      </c>
      <c r="AA58" s="14">
        <f t="shared" si="18"/>
        <v>0.19950000000000001</v>
      </c>
      <c r="AB58" s="12">
        <f>Z58*AB51*AA58</f>
        <v>49.077000000000005</v>
      </c>
      <c r="AC58" s="12">
        <f>Z58*0.85*AB52</f>
        <v>609.875</v>
      </c>
      <c r="AD58" s="12">
        <f t="shared" si="19"/>
        <v>658.952</v>
      </c>
      <c r="AE58" s="13">
        <v>86</v>
      </c>
      <c r="AF58" s="11"/>
    </row>
    <row r="59" spans="8:32">
      <c r="H59" s="15" t="s">
        <v>44</v>
      </c>
      <c r="I59" s="30">
        <v>125</v>
      </c>
      <c r="J59" s="30">
        <f t="shared" si="10"/>
        <v>137.5</v>
      </c>
      <c r="K59" s="22">
        <f>AD70</f>
        <v>1544.444</v>
      </c>
      <c r="L59" s="30">
        <v>160</v>
      </c>
      <c r="M59" s="23">
        <f t="shared" si="11"/>
        <v>130.90909090909091</v>
      </c>
      <c r="N59" s="23">
        <f t="shared" si="12"/>
        <v>292058.3205128205</v>
      </c>
      <c r="O59" s="26">
        <f t="shared" si="13"/>
        <v>1.4490901676620456E-2</v>
      </c>
      <c r="P59" s="30">
        <f t="shared" si="14"/>
        <v>8.3266921158736913E-6</v>
      </c>
      <c r="Q59" s="30">
        <f t="shared" si="15"/>
        <v>1.1449201659326327E-3</v>
      </c>
      <c r="R59" s="28">
        <f t="shared" si="20"/>
        <v>0.29082096763657128</v>
      </c>
      <c r="S59" s="29">
        <f t="shared" si="16"/>
        <v>0.28935344942411034</v>
      </c>
      <c r="X59" s="15" t="s">
        <v>21</v>
      </c>
      <c r="Y59" s="13">
        <v>33</v>
      </c>
      <c r="Z59" s="13">
        <f t="shared" si="17"/>
        <v>238</v>
      </c>
      <c r="AA59" s="14">
        <f t="shared" si="18"/>
        <v>0.19619999999999999</v>
      </c>
      <c r="AB59" s="12">
        <f>Z59*AB51*AA59</f>
        <v>56.034719999999986</v>
      </c>
      <c r="AC59" s="12">
        <f>Z59*0.85*AB52</f>
        <v>708.05</v>
      </c>
      <c r="AD59" s="12">
        <f t="shared" si="19"/>
        <v>764.08471999999995</v>
      </c>
      <c r="AE59" s="13">
        <v>86</v>
      </c>
      <c r="AF59" s="11"/>
    </row>
    <row r="60" spans="8:32">
      <c r="H60" s="16" t="s">
        <v>45</v>
      </c>
      <c r="I60" s="30">
        <v>125</v>
      </c>
      <c r="J60" s="30">
        <f t="shared" si="10"/>
        <v>137.5</v>
      </c>
      <c r="K60" s="22">
        <f>AD69</f>
        <v>1499.77</v>
      </c>
      <c r="L60" s="30">
        <v>160</v>
      </c>
      <c r="M60" s="23">
        <f t="shared" si="11"/>
        <v>130.90909090909091</v>
      </c>
      <c r="N60" s="23">
        <f t="shared" si="12"/>
        <v>283610.35256410256</v>
      </c>
      <c r="O60" s="26">
        <f t="shared" si="13"/>
        <v>1.4572183227221857E-2</v>
      </c>
      <c r="P60" s="30">
        <f t="shared" si="14"/>
        <v>7.8959922406292346E-6</v>
      </c>
      <c r="Q60" s="30">
        <f t="shared" si="15"/>
        <v>1.0856989330865197E-3</v>
      </c>
      <c r="R60" s="28">
        <f t="shared" si="20"/>
        <v>0.28935344942411034</v>
      </c>
      <c r="S60" s="29">
        <f t="shared" si="16"/>
        <v>0.28795671104566123</v>
      </c>
      <c r="X60" s="16" t="s">
        <v>22</v>
      </c>
      <c r="Y60" s="17">
        <v>39</v>
      </c>
      <c r="Z60" s="13">
        <f t="shared" si="17"/>
        <v>277</v>
      </c>
      <c r="AA60" s="14">
        <f t="shared" si="18"/>
        <v>0.1923</v>
      </c>
      <c r="AB60" s="12">
        <f>Z60*AB51*AA60</f>
        <v>63.920519999999996</v>
      </c>
      <c r="AC60" s="12">
        <f>Z60*0.85*AB52</f>
        <v>824.07499999999993</v>
      </c>
      <c r="AD60" s="12">
        <f t="shared" si="19"/>
        <v>887.99551999999994</v>
      </c>
      <c r="AE60" s="17">
        <v>87</v>
      </c>
    </row>
    <row r="61" spans="8:32">
      <c r="H61" s="16" t="s">
        <v>46</v>
      </c>
      <c r="I61" s="30">
        <v>150</v>
      </c>
      <c r="J61" s="30">
        <f t="shared" si="10"/>
        <v>165</v>
      </c>
      <c r="K61" s="22">
        <f>AD68</f>
        <v>1451.905</v>
      </c>
      <c r="L61" s="30">
        <v>160</v>
      </c>
      <c r="M61" s="23">
        <f t="shared" si="11"/>
        <v>130.90909090909091</v>
      </c>
      <c r="N61" s="23">
        <f t="shared" si="12"/>
        <v>274558.95833333331</v>
      </c>
      <c r="O61" s="26">
        <f t="shared" si="13"/>
        <v>1.4662800287285343E-2</v>
      </c>
      <c r="P61" s="30">
        <f t="shared" si="14"/>
        <v>7.4460523694453497E-6</v>
      </c>
      <c r="Q61" s="30">
        <f t="shared" si="15"/>
        <v>1.2285986409584827E-3</v>
      </c>
      <c r="R61" s="28">
        <f t="shared" si="20"/>
        <v>0.28795671104566123</v>
      </c>
      <c r="S61" s="29">
        <f t="shared" si="16"/>
        <v>0.28637004413438705</v>
      </c>
      <c r="X61" s="16" t="s">
        <v>23</v>
      </c>
      <c r="Y61" s="17">
        <v>36</v>
      </c>
      <c r="Z61" s="13">
        <f t="shared" si="17"/>
        <v>313</v>
      </c>
      <c r="AA61" s="14">
        <f t="shared" si="18"/>
        <v>0.18869999999999998</v>
      </c>
      <c r="AB61" s="12">
        <f>Z61*AB51*AA61</f>
        <v>70.875719999999987</v>
      </c>
      <c r="AC61" s="12">
        <f>Z61*0.85*AB52</f>
        <v>931.17500000000007</v>
      </c>
      <c r="AD61" s="12">
        <f t="shared" si="19"/>
        <v>1002.0507200000001</v>
      </c>
      <c r="AE61" s="17">
        <v>83</v>
      </c>
    </row>
    <row r="62" spans="8:32">
      <c r="H62" s="16" t="s">
        <v>47</v>
      </c>
      <c r="I62" s="30">
        <v>190</v>
      </c>
      <c r="J62" s="30">
        <f t="shared" si="10"/>
        <v>209</v>
      </c>
      <c r="K62" s="22">
        <f>AD67</f>
        <v>1400.8489999999999</v>
      </c>
      <c r="L62" s="30">
        <v>160</v>
      </c>
      <c r="M62" s="23">
        <f t="shared" si="11"/>
        <v>130.90909090909091</v>
      </c>
      <c r="N62" s="23">
        <f t="shared" si="12"/>
        <v>264904.13782051281</v>
      </c>
      <c r="O62" s="26">
        <f t="shared" si="13"/>
        <v>1.476379680583334E-2</v>
      </c>
      <c r="P62" s="30">
        <f t="shared" si="14"/>
        <v>6.9793258250848119E-6</v>
      </c>
      <c r="Q62" s="30">
        <f t="shared" si="15"/>
        <v>1.4586790974427256E-3</v>
      </c>
      <c r="R62" s="28">
        <f t="shared" si="20"/>
        <v>0.28637004413438705</v>
      </c>
      <c r="S62" s="29">
        <f t="shared" si="16"/>
        <v>0.28447773915659336</v>
      </c>
      <c r="X62" s="16" t="s">
        <v>24</v>
      </c>
      <c r="Y62" s="17">
        <v>35</v>
      </c>
      <c r="Z62" s="13">
        <f t="shared" si="17"/>
        <v>348</v>
      </c>
      <c r="AA62" s="14">
        <f t="shared" si="18"/>
        <v>0.18519999999999998</v>
      </c>
      <c r="AB62" s="12">
        <f>Z62*AB51*AA62</f>
        <v>77.339519999999979</v>
      </c>
      <c r="AC62" s="12">
        <f>Z62*0.85*AB52</f>
        <v>1035.3</v>
      </c>
      <c r="AD62" s="12">
        <f t="shared" si="19"/>
        <v>1112.6395199999999</v>
      </c>
      <c r="AE62" s="17">
        <v>103</v>
      </c>
    </row>
    <row r="63" spans="8:32">
      <c r="H63" s="16" t="s">
        <v>49</v>
      </c>
      <c r="I63" s="30">
        <v>700</v>
      </c>
      <c r="J63" s="30">
        <f t="shared" si="10"/>
        <v>770</v>
      </c>
      <c r="K63" s="22">
        <f>AD66</f>
        <v>1359.366</v>
      </c>
      <c r="L63" s="30">
        <v>160</v>
      </c>
      <c r="M63" s="23">
        <f t="shared" si="11"/>
        <v>130.90909090909091</v>
      </c>
      <c r="N63" s="23">
        <f t="shared" si="12"/>
        <v>257059.59615384619</v>
      </c>
      <c r="O63" s="26">
        <f t="shared" si="13"/>
        <v>1.4849413134797956E-2</v>
      </c>
      <c r="P63" s="30">
        <f t="shared" si="14"/>
        <v>6.6102039919479311E-6</v>
      </c>
      <c r="Q63" s="30">
        <f t="shared" si="15"/>
        <v>5.0898570737999069E-3</v>
      </c>
      <c r="R63" s="28">
        <f t="shared" si="20"/>
        <v>0.28447773915659336</v>
      </c>
      <c r="S63" s="29">
        <f t="shared" si="16"/>
        <v>0.27780057548019366</v>
      </c>
      <c r="X63" s="16" t="s">
        <v>25</v>
      </c>
      <c r="Y63" s="17">
        <v>16</v>
      </c>
      <c r="Z63" s="13">
        <f t="shared" si="17"/>
        <v>364</v>
      </c>
      <c r="AA63" s="14">
        <f t="shared" si="18"/>
        <v>0.18359999999999999</v>
      </c>
      <c r="AB63" s="12">
        <f>Z63*AB51*AA63</f>
        <v>80.196479999999994</v>
      </c>
      <c r="AC63" s="12">
        <f>Z63*0.85*AB52</f>
        <v>1082.8999999999999</v>
      </c>
      <c r="AD63" s="12">
        <f t="shared" si="19"/>
        <v>1163.0964799999999</v>
      </c>
      <c r="AE63" s="17">
        <v>40</v>
      </c>
    </row>
    <row r="64" spans="8:32">
      <c r="H64" s="16" t="s">
        <v>48</v>
      </c>
      <c r="I64" s="30">
        <v>375</v>
      </c>
      <c r="J64" s="30">
        <f t="shared" si="10"/>
        <v>412.5</v>
      </c>
      <c r="K64" s="22">
        <f>AD65</f>
        <v>1340.22</v>
      </c>
      <c r="L64" s="30">
        <v>160</v>
      </c>
      <c r="M64" s="23">
        <f t="shared" si="11"/>
        <v>130.90909090909091</v>
      </c>
      <c r="N64" s="23">
        <f t="shared" si="12"/>
        <v>253439.0384615385</v>
      </c>
      <c r="O64" s="26">
        <f t="shared" si="13"/>
        <v>1.4890072307134893E-2</v>
      </c>
      <c r="P64" s="30">
        <f t="shared" si="14"/>
        <v>6.4429054960843969E-6</v>
      </c>
      <c r="Q64" s="30">
        <f t="shared" si="15"/>
        <v>2.6576985171348137E-3</v>
      </c>
      <c r="R64" s="28">
        <f t="shared" si="20"/>
        <v>0.27780057548019366</v>
      </c>
      <c r="S64" s="29">
        <f t="shared" si="16"/>
        <v>0.27426671815168213</v>
      </c>
      <c r="X64" s="16" t="s">
        <v>26</v>
      </c>
      <c r="Y64" s="17">
        <v>27</v>
      </c>
      <c r="Z64" s="13">
        <f t="shared" si="17"/>
        <v>391</v>
      </c>
      <c r="AA64" s="14">
        <f t="shared" si="18"/>
        <v>0.18090000000000001</v>
      </c>
      <c r="AB64" s="12">
        <f>Z64*AB51*AA64</f>
        <v>84.878280000000004</v>
      </c>
      <c r="AC64" s="12">
        <f>Z64*0.85*AB52</f>
        <v>1163.2249999999999</v>
      </c>
      <c r="AD64" s="12">
        <f t="shared" si="19"/>
        <v>1248.1032799999998</v>
      </c>
      <c r="AE64" s="17">
        <v>110</v>
      </c>
    </row>
    <row r="65" spans="8:32">
      <c r="H65" s="16" t="s">
        <v>50</v>
      </c>
      <c r="I65" s="30">
        <v>110</v>
      </c>
      <c r="J65" s="30">
        <f t="shared" si="10"/>
        <v>121</v>
      </c>
      <c r="K65" s="22">
        <f>AD64</f>
        <v>1248.1032799999998</v>
      </c>
      <c r="L65" s="30">
        <v>110</v>
      </c>
      <c r="M65" s="23">
        <f t="shared" si="11"/>
        <v>90</v>
      </c>
      <c r="N65" s="23">
        <f t="shared" si="12"/>
        <v>343301.13529137522</v>
      </c>
      <c r="O65" s="26">
        <f t="shared" si="13"/>
        <v>1.4055203693000697E-2</v>
      </c>
      <c r="P65" s="30">
        <f t="shared" si="14"/>
        <v>3.434056575031249E-5</v>
      </c>
      <c r="Q65" s="30">
        <f t="shared" si="15"/>
        <v>4.1552084557878117E-3</v>
      </c>
      <c r="R65" s="28">
        <f t="shared" si="20"/>
        <v>0.27426671815168213</v>
      </c>
      <c r="S65" s="29">
        <f t="shared" si="16"/>
        <v>0.26867379600433072</v>
      </c>
      <c r="X65" s="16" t="s">
        <v>27</v>
      </c>
      <c r="Y65" s="17">
        <v>29</v>
      </c>
      <c r="Z65" s="13">
        <f t="shared" si="17"/>
        <v>420</v>
      </c>
      <c r="AA65" s="14">
        <v>0.18</v>
      </c>
      <c r="AB65" s="12">
        <f>Z65*AB51*AA65</f>
        <v>90.72</v>
      </c>
      <c r="AC65" s="12">
        <f>Z65*0.85*AB52</f>
        <v>1249.5</v>
      </c>
      <c r="AD65" s="12">
        <f t="shared" si="19"/>
        <v>1340.22</v>
      </c>
      <c r="AE65" s="17">
        <v>375</v>
      </c>
    </row>
    <row r="66" spans="8:32">
      <c r="H66" s="16" t="s">
        <v>51</v>
      </c>
      <c r="I66" s="30">
        <v>40</v>
      </c>
      <c r="J66" s="30">
        <f t="shared" si="10"/>
        <v>44</v>
      </c>
      <c r="K66" s="22">
        <f>AD63</f>
        <v>1163.0964799999999</v>
      </c>
      <c r="L66" s="30">
        <v>110</v>
      </c>
      <c r="M66" s="23">
        <f t="shared" si="11"/>
        <v>90</v>
      </c>
      <c r="N66" s="23">
        <f t="shared" si="12"/>
        <v>319919.31151515146</v>
      </c>
      <c r="O66" s="26">
        <f t="shared" si="13"/>
        <v>1.424287360693146E-2</v>
      </c>
      <c r="P66" s="30">
        <f t="shared" si="14"/>
        <v>3.0220271091560907E-5</v>
      </c>
      <c r="Q66" s="30">
        <f t="shared" si="15"/>
        <v>1.32969192802868E-3</v>
      </c>
      <c r="R66" s="28">
        <f t="shared" si="20"/>
        <v>0.26867379600433072</v>
      </c>
      <c r="S66" s="29">
        <f t="shared" si="16"/>
        <v>0.26686601904811813</v>
      </c>
      <c r="X66" s="16" t="s">
        <v>28</v>
      </c>
      <c r="Y66" s="17">
        <v>6</v>
      </c>
      <c r="Z66" s="13">
        <f t="shared" si="17"/>
        <v>426</v>
      </c>
      <c r="AA66" s="14">
        <v>0.18</v>
      </c>
      <c r="AB66" s="12">
        <f>Z66*AB51*AA66</f>
        <v>92.015999999999991</v>
      </c>
      <c r="AC66" s="12">
        <f>Z66*0.85*AB52</f>
        <v>1267.3499999999999</v>
      </c>
      <c r="AD66" s="12">
        <f t="shared" si="19"/>
        <v>1359.366</v>
      </c>
      <c r="AE66" s="17">
        <v>700</v>
      </c>
    </row>
    <row r="67" spans="8:32">
      <c r="H67" s="16" t="s">
        <v>52</v>
      </c>
      <c r="I67" s="30">
        <v>103</v>
      </c>
      <c r="J67" s="30">
        <f t="shared" si="10"/>
        <v>113.3</v>
      </c>
      <c r="K67" s="22">
        <f>AD62</f>
        <v>1112.6395199999999</v>
      </c>
      <c r="L67" s="30">
        <v>110</v>
      </c>
      <c r="M67" s="23">
        <f t="shared" si="11"/>
        <v>90</v>
      </c>
      <c r="N67" s="23">
        <f t="shared" si="12"/>
        <v>306040.70713286719</v>
      </c>
      <c r="O67" s="26">
        <f t="shared" si="13"/>
        <v>1.4362799945395887E-2</v>
      </c>
      <c r="P67" s="30">
        <f t="shared" si="14"/>
        <v>2.7887997283189081E-5</v>
      </c>
      <c r="Q67" s="30">
        <f t="shared" si="15"/>
        <v>3.1597100921853228E-3</v>
      </c>
      <c r="R67" s="28">
        <f t="shared" si="20"/>
        <v>0.26686601904811813</v>
      </c>
      <c r="S67" s="29">
        <f t="shared" si="16"/>
        <v>0.26253408921097177</v>
      </c>
      <c r="X67" s="16" t="s">
        <v>29</v>
      </c>
      <c r="Y67" s="17">
        <v>13</v>
      </c>
      <c r="Z67" s="13">
        <f t="shared" si="17"/>
        <v>439</v>
      </c>
      <c r="AA67" s="14">
        <v>0.18</v>
      </c>
      <c r="AB67" s="12">
        <f>Z67*AB51*AA67</f>
        <v>94.823999999999984</v>
      </c>
      <c r="AC67" s="12">
        <f>Z67*0.85*AB52</f>
        <v>1306.0249999999999</v>
      </c>
      <c r="AD67" s="12">
        <f t="shared" si="19"/>
        <v>1400.8489999999999</v>
      </c>
      <c r="AE67" s="17">
        <v>190</v>
      </c>
    </row>
    <row r="68" spans="8:32">
      <c r="H68" s="16" t="s">
        <v>53</v>
      </c>
      <c r="I68" s="30">
        <v>83</v>
      </c>
      <c r="J68" s="30">
        <f t="shared" si="10"/>
        <v>91.3</v>
      </c>
      <c r="K68" s="22">
        <f>AD61</f>
        <v>1002.0507200000001</v>
      </c>
      <c r="L68" s="30">
        <v>110</v>
      </c>
      <c r="M68" s="23">
        <f t="shared" si="11"/>
        <v>90</v>
      </c>
      <c r="N68" s="23">
        <f t="shared" si="12"/>
        <v>275622.34256410261</v>
      </c>
      <c r="O68" s="26">
        <f t="shared" si="13"/>
        <v>1.4651956399083116E-2</v>
      </c>
      <c r="P68" s="30">
        <f t="shared" si="14"/>
        <v>2.3075136527325126E-5</v>
      </c>
      <c r="Q68" s="30">
        <f t="shared" si="15"/>
        <v>2.1067599649447839E-3</v>
      </c>
      <c r="R68" s="28">
        <f t="shared" si="20"/>
        <v>0.26253408921097177</v>
      </c>
      <c r="S68" s="29">
        <f t="shared" si="16"/>
        <v>0.25961674860201389</v>
      </c>
      <c r="X68" s="16" t="s">
        <v>30</v>
      </c>
      <c r="Y68" s="17">
        <v>16</v>
      </c>
      <c r="Z68" s="13">
        <f t="shared" si="17"/>
        <v>455</v>
      </c>
      <c r="AA68" s="14">
        <v>0.18</v>
      </c>
      <c r="AB68" s="12">
        <f>Z68*AB51*AA68</f>
        <v>98.28</v>
      </c>
      <c r="AC68" s="12">
        <f>Z68*0.85*AB52</f>
        <v>1353.625</v>
      </c>
      <c r="AD68" s="12">
        <f t="shared" si="19"/>
        <v>1451.905</v>
      </c>
      <c r="AE68" s="17">
        <v>150</v>
      </c>
    </row>
    <row r="69" spans="8:32">
      <c r="H69" s="16" t="s">
        <v>54</v>
      </c>
      <c r="I69" s="30">
        <v>87</v>
      </c>
      <c r="J69" s="30">
        <f t="shared" si="10"/>
        <v>95.7</v>
      </c>
      <c r="K69" s="22">
        <f>AD60</f>
        <v>887.99551999999994</v>
      </c>
      <c r="L69" s="30">
        <v>110</v>
      </c>
      <c r="M69" s="23">
        <f t="shared" si="11"/>
        <v>90</v>
      </c>
      <c r="N69" s="23">
        <f t="shared" si="12"/>
        <v>244250.51599067598</v>
      </c>
      <c r="O69" s="26">
        <f>1/((1.82*LOG(N69)-1.64)^2)</f>
        <v>1.4996712900373873E-2</v>
      </c>
      <c r="P69" s="30">
        <f t="shared" si="14"/>
        <v>1.8547564054816032E-5</v>
      </c>
      <c r="Q69" s="30">
        <f t="shared" si="15"/>
        <v>1.7750018800458942E-3</v>
      </c>
      <c r="R69" s="28">
        <f t="shared" si="20"/>
        <v>0.25961674860201389</v>
      </c>
      <c r="S69" s="29">
        <f t="shared" si="16"/>
        <v>0.25714031415542848</v>
      </c>
      <c r="X69" s="16" t="s">
        <v>31</v>
      </c>
      <c r="Y69" s="17">
        <v>15</v>
      </c>
      <c r="Z69" s="13">
        <f t="shared" si="17"/>
        <v>470</v>
      </c>
      <c r="AA69" s="14">
        <v>0.18</v>
      </c>
      <c r="AB69" s="12">
        <f>Z69*AB51*AA69</f>
        <v>101.52</v>
      </c>
      <c r="AC69" s="12">
        <f>Z69*0.85*AB52</f>
        <v>1398.25</v>
      </c>
      <c r="AD69" s="12">
        <f t="shared" si="19"/>
        <v>1499.77</v>
      </c>
      <c r="AE69" s="17">
        <v>125</v>
      </c>
    </row>
    <row r="70" spans="8:32">
      <c r="H70" s="16" t="s">
        <v>55</v>
      </c>
      <c r="I70" s="30">
        <v>86</v>
      </c>
      <c r="J70" s="30">
        <f t="shared" si="10"/>
        <v>94.6</v>
      </c>
      <c r="K70" s="22">
        <f>AD59</f>
        <v>764.08471999999995</v>
      </c>
      <c r="L70" s="30">
        <v>110</v>
      </c>
      <c r="M70" s="23">
        <f t="shared" si="11"/>
        <v>90</v>
      </c>
      <c r="N70" s="23">
        <f t="shared" si="12"/>
        <v>210167.82508158509</v>
      </c>
      <c r="O70" s="26">
        <f t="shared" ref="O70:O74" si="21">1/((1.82*LOG(N70)-1.64)^2)</f>
        <v>1.544274085094334E-2</v>
      </c>
      <c r="P70" s="30">
        <f t="shared" si="14"/>
        <v>1.4140887460165922E-5</v>
      </c>
      <c r="Q70" s="30">
        <f t="shared" si="15"/>
        <v>1.3377279537316962E-3</v>
      </c>
      <c r="R70" s="28">
        <f t="shared" si="20"/>
        <v>0.25714031415542848</v>
      </c>
      <c r="S70" s="29">
        <f t="shared" si="16"/>
        <v>0.25526254522719738</v>
      </c>
      <c r="X70" s="16" t="s">
        <v>32</v>
      </c>
      <c r="Y70" s="17">
        <v>14</v>
      </c>
      <c r="Z70" s="13">
        <f t="shared" si="17"/>
        <v>484</v>
      </c>
      <c r="AA70" s="14">
        <v>0.18</v>
      </c>
      <c r="AB70" s="12">
        <f>Z70*AB51*AA70</f>
        <v>104.54399999999998</v>
      </c>
      <c r="AC70" s="12">
        <f>Z70*0.85*AB52</f>
        <v>1439.8999999999999</v>
      </c>
      <c r="AD70" s="12">
        <f t="shared" si="19"/>
        <v>1544.444</v>
      </c>
      <c r="AE70" s="17">
        <v>125</v>
      </c>
    </row>
    <row r="71" spans="8:32">
      <c r="H71" s="16" t="s">
        <v>56</v>
      </c>
      <c r="I71" s="30">
        <v>86</v>
      </c>
      <c r="J71" s="30">
        <f t="shared" si="10"/>
        <v>94.6</v>
      </c>
      <c r="K71" s="22">
        <f>AD58</f>
        <v>658.952</v>
      </c>
      <c r="L71" s="31">
        <v>110</v>
      </c>
      <c r="M71" s="23">
        <f t="shared" si="11"/>
        <v>90</v>
      </c>
      <c r="N71" s="23">
        <f t="shared" si="12"/>
        <v>181250.20046620048</v>
      </c>
      <c r="O71" s="26">
        <f t="shared" si="21"/>
        <v>1.5901800546270318E-2</v>
      </c>
      <c r="P71" s="30">
        <f t="shared" si="14"/>
        <v>1.0829866811195539E-5</v>
      </c>
      <c r="Q71" s="30">
        <f t="shared" si="15"/>
        <v>1.0245054003390978E-3</v>
      </c>
      <c r="R71" s="28">
        <f t="shared" si="20"/>
        <v>0.25526254522719738</v>
      </c>
      <c r="S71" s="29">
        <f t="shared" si="16"/>
        <v>0.25381770820716043</v>
      </c>
      <c r="X71" s="16" t="s">
        <v>33</v>
      </c>
      <c r="Y71" s="17">
        <v>15</v>
      </c>
      <c r="Z71" s="13">
        <f t="shared" si="17"/>
        <v>499</v>
      </c>
      <c r="AA71" s="14">
        <v>0.18</v>
      </c>
      <c r="AB71" s="12">
        <f>Z71*AB51*AA71</f>
        <v>107.78399999999999</v>
      </c>
      <c r="AC71" s="12">
        <f>Z71*0.85*AB52</f>
        <v>1484.5249999999999</v>
      </c>
      <c r="AD71" s="12">
        <f t="shared" si="19"/>
        <v>1592.3089999999997</v>
      </c>
      <c r="AE71" s="17">
        <v>125</v>
      </c>
    </row>
    <row r="72" spans="8:32">
      <c r="H72" s="16" t="s">
        <v>57</v>
      </c>
      <c r="I72" s="30">
        <v>313</v>
      </c>
      <c r="J72" s="30">
        <f t="shared" si="10"/>
        <v>344.3</v>
      </c>
      <c r="K72" s="22">
        <f>AD57</f>
        <v>627.04200000000003</v>
      </c>
      <c r="L72" s="31">
        <v>110</v>
      </c>
      <c r="M72" s="23">
        <f t="shared" si="11"/>
        <v>90</v>
      </c>
      <c r="N72" s="23">
        <f t="shared" si="12"/>
        <v>172473.09090909091</v>
      </c>
      <c r="O72" s="26">
        <f t="shared" si="21"/>
        <v>1.6060324357554921E-2</v>
      </c>
      <c r="P72" s="30">
        <f t="shared" si="14"/>
        <v>9.9041412984317245E-6</v>
      </c>
      <c r="Q72" s="30">
        <f t="shared" si="15"/>
        <v>3.4099958490500428E-3</v>
      </c>
      <c r="R72" s="28">
        <f t="shared" si="20"/>
        <v>0.25381770820716043</v>
      </c>
      <c r="S72" s="29">
        <f t="shared" si="16"/>
        <v>0.24896557823360929</v>
      </c>
      <c r="X72" s="16" t="s">
        <v>34</v>
      </c>
      <c r="Y72" s="17">
        <v>16</v>
      </c>
      <c r="Z72" s="13">
        <f t="shared" si="17"/>
        <v>515</v>
      </c>
      <c r="AA72" s="14">
        <v>0.18</v>
      </c>
      <c r="AB72" s="12">
        <f>Z72*AB51*AA72</f>
        <v>111.24</v>
      </c>
      <c r="AC72" s="12">
        <f>Z72*0.85*AB52</f>
        <v>1532.125</v>
      </c>
      <c r="AD72" s="12">
        <f t="shared" si="19"/>
        <v>1643.365</v>
      </c>
      <c r="AE72" s="17">
        <v>125</v>
      </c>
    </row>
    <row r="73" spans="8:32">
      <c r="H73" s="16" t="s">
        <v>58</v>
      </c>
      <c r="I73" s="30">
        <v>118</v>
      </c>
      <c r="J73" s="30">
        <f t="shared" si="10"/>
        <v>129.80000000000001</v>
      </c>
      <c r="K73" s="22">
        <f>AD56</f>
        <v>585.52311999999995</v>
      </c>
      <c r="L73" s="31">
        <v>110</v>
      </c>
      <c r="M73" s="23">
        <f t="shared" si="11"/>
        <v>90</v>
      </c>
      <c r="N73" s="23">
        <f t="shared" si="12"/>
        <v>161052.97939393937</v>
      </c>
      <c r="O73" s="26">
        <f t="shared" si="21"/>
        <v>1.6283037546218831E-2</v>
      </c>
      <c r="P73" s="30">
        <f t="shared" si="14"/>
        <v>8.7557383253638581E-6</v>
      </c>
      <c r="Q73" s="30">
        <f t="shared" si="15"/>
        <v>1.1364948346322288E-3</v>
      </c>
      <c r="R73" s="28">
        <f t="shared" si="20"/>
        <v>0.24896557823360929</v>
      </c>
      <c r="S73" s="29">
        <f t="shared" si="16"/>
        <v>0.24733338445546096</v>
      </c>
      <c r="X73" s="16" t="s">
        <v>35</v>
      </c>
      <c r="Y73" s="17">
        <v>16</v>
      </c>
      <c r="Z73" s="13">
        <f t="shared" si="17"/>
        <v>531</v>
      </c>
      <c r="AA73" s="14">
        <v>0.18</v>
      </c>
      <c r="AB73" s="12">
        <f>Z73*AB51*AA73</f>
        <v>114.69599999999998</v>
      </c>
      <c r="AC73" s="12">
        <f>Z73*0.85*AB52</f>
        <v>1579.7249999999999</v>
      </c>
      <c r="AD73" s="12">
        <f t="shared" si="19"/>
        <v>1694.4209999999998</v>
      </c>
      <c r="AE73" s="17">
        <v>185</v>
      </c>
    </row>
    <row r="74" spans="8:32">
      <c r="H74" s="16" t="s">
        <v>59</v>
      </c>
      <c r="I74" s="30">
        <v>96</v>
      </c>
      <c r="J74" s="30">
        <f t="shared" si="10"/>
        <v>105.6</v>
      </c>
      <c r="K74" s="22">
        <f>AD55</f>
        <v>579.13200000000006</v>
      </c>
      <c r="L74" s="31">
        <v>110</v>
      </c>
      <c r="M74" s="23">
        <f t="shared" si="11"/>
        <v>90</v>
      </c>
      <c r="N74" s="23">
        <f t="shared" si="12"/>
        <v>159295.04895104896</v>
      </c>
      <c r="O74" s="26">
        <f t="shared" si="21"/>
        <v>1.6319147290527344E-2</v>
      </c>
      <c r="P74" s="30">
        <f t="shared" si="14"/>
        <v>8.5846351095812214E-6</v>
      </c>
      <c r="Q74" s="30">
        <f t="shared" si="15"/>
        <v>9.0653746757177688E-4</v>
      </c>
      <c r="R74" s="28">
        <f t="shared" si="20"/>
        <v>0.24733338445546096</v>
      </c>
      <c r="S74" s="29">
        <f t="shared" si="16"/>
        <v>0.24602592748190602</v>
      </c>
      <c r="X74" s="16" t="s">
        <v>36</v>
      </c>
      <c r="Y74" s="17">
        <v>6</v>
      </c>
      <c r="Z74" s="13">
        <f t="shared" si="17"/>
        <v>537</v>
      </c>
      <c r="AA74" s="14">
        <v>0.18</v>
      </c>
      <c r="AB74" s="12">
        <f>Z74*AB51*AA74</f>
        <v>115.99199999999999</v>
      </c>
      <c r="AC74" s="12">
        <f>Z74*0.85*AB52</f>
        <v>1597.575</v>
      </c>
      <c r="AD74" s="12">
        <f t="shared" si="19"/>
        <v>1713.567</v>
      </c>
      <c r="AE74" s="17">
        <v>250</v>
      </c>
    </row>
    <row r="75" spans="8:32">
      <c r="H75" s="4"/>
      <c r="I75" s="30"/>
      <c r="J75" s="30"/>
      <c r="K75" s="30"/>
      <c r="L75" s="30"/>
      <c r="M75" s="23"/>
      <c r="N75" s="23"/>
      <c r="O75" s="23"/>
      <c r="P75" s="30"/>
      <c r="Q75" s="30"/>
      <c r="R75" s="30"/>
      <c r="S75" s="3"/>
      <c r="X75" s="8"/>
      <c r="Y75" s="18"/>
      <c r="Z75" s="18"/>
      <c r="AA75" s="18"/>
      <c r="AB75" s="18"/>
      <c r="AC75" s="19"/>
      <c r="AD75" s="20"/>
      <c r="AE75" s="18">
        <f>SUM(AE55:AE74)</f>
        <v>3472</v>
      </c>
      <c r="AF75" s="1" t="s">
        <v>37</v>
      </c>
    </row>
    <row r="76" spans="8:32">
      <c r="H76" s="4"/>
      <c r="I76" s="30"/>
      <c r="J76" s="30"/>
      <c r="K76" s="30"/>
      <c r="L76" s="30"/>
      <c r="M76" s="23"/>
      <c r="N76" s="23"/>
      <c r="O76" s="23"/>
      <c r="P76" s="30"/>
      <c r="Q76" s="30"/>
      <c r="R76" s="30"/>
      <c r="S76" s="3"/>
      <c r="X76" s="8"/>
      <c r="Y76" s="18"/>
      <c r="Z76" s="18"/>
      <c r="AA76" s="18" t="s">
        <v>38</v>
      </c>
      <c r="AB76" s="21">
        <f>AB74+AC74</f>
        <v>1713.567</v>
      </c>
      <c r="AC76" s="18" t="s">
        <v>39</v>
      </c>
      <c r="AD76" s="18"/>
      <c r="AE76" s="18"/>
    </row>
    <row r="77" spans="8:32">
      <c r="H77" s="4"/>
      <c r="I77" s="30"/>
      <c r="J77" s="30"/>
      <c r="K77" s="30"/>
      <c r="L77" s="30"/>
      <c r="M77" s="23"/>
      <c r="N77" s="23"/>
      <c r="O77" s="23"/>
      <c r="P77" s="30"/>
      <c r="Q77" s="30"/>
      <c r="R77" s="30"/>
      <c r="S77" s="3"/>
    </row>
    <row r="78" spans="8:32">
      <c r="H78" s="4"/>
      <c r="I78" s="30"/>
      <c r="J78" s="30"/>
      <c r="K78" s="30"/>
      <c r="L78" s="30"/>
      <c r="M78" s="23"/>
      <c r="N78" s="23"/>
      <c r="O78" s="23"/>
      <c r="P78" s="30"/>
      <c r="Q78" s="30"/>
      <c r="R78" s="30"/>
      <c r="S78" s="3"/>
    </row>
    <row r="79" spans="8:32" ht="19.5" thickBot="1">
      <c r="H79" s="5"/>
      <c r="I79" s="6"/>
      <c r="J79" s="6"/>
      <c r="K79" s="6"/>
      <c r="L79" s="6"/>
      <c r="M79" s="25"/>
      <c r="N79" s="25"/>
      <c r="O79" s="25"/>
      <c r="P79" s="6"/>
      <c r="Q79" s="6"/>
      <c r="R79" s="6"/>
      <c r="S79" s="7"/>
    </row>
    <row r="80" spans="8:32" ht="19.5" thickTop="1"/>
    <row r="82" spans="8:32"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8:32"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8:32"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8:32">
      <c r="H85"/>
      <c r="I85"/>
      <c r="J85"/>
      <c r="K85"/>
      <c r="L85"/>
      <c r="M85"/>
      <c r="N85"/>
      <c r="O85"/>
      <c r="P85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8:32"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8" spans="8:32">
      <c r="I88" s="79" t="s">
        <v>69</v>
      </c>
      <c r="J88" s="81"/>
      <c r="K88" s="81"/>
      <c r="L88" s="81"/>
      <c r="M88" s="81"/>
      <c r="N88" s="81"/>
      <c r="O88" s="81"/>
      <c r="P88" s="81"/>
      <c r="Q88" s="81"/>
      <c r="R88" s="81"/>
    </row>
    <row r="89" spans="8:32">
      <c r="I89" s="81"/>
      <c r="J89" s="81"/>
      <c r="K89" s="81"/>
      <c r="L89" s="81"/>
      <c r="M89" s="81"/>
      <c r="N89" s="81"/>
      <c r="O89" s="81"/>
      <c r="P89" s="81"/>
      <c r="Q89" s="81"/>
      <c r="R89" s="81"/>
      <c r="Z89" s="1" t="s">
        <v>8</v>
      </c>
      <c r="AB89" s="9">
        <v>1.2</v>
      </c>
      <c r="AC89" s="9"/>
      <c r="AD89" s="9"/>
    </row>
    <row r="90" spans="8:32" ht="17.25" customHeight="1" thickBot="1">
      <c r="Z90" s="1" t="s">
        <v>68</v>
      </c>
      <c r="AB90" s="9">
        <v>3.5</v>
      </c>
      <c r="AC90" s="1" t="s">
        <v>9</v>
      </c>
    </row>
    <row r="91" spans="8:32" ht="33.75" customHeight="1" thickTop="1">
      <c r="H91" s="73" t="s">
        <v>0</v>
      </c>
      <c r="I91" s="75" t="s">
        <v>61</v>
      </c>
      <c r="J91" s="75"/>
      <c r="K91" s="75" t="s">
        <v>1</v>
      </c>
      <c r="L91" s="75" t="s">
        <v>60</v>
      </c>
      <c r="M91" s="75" t="s">
        <v>63</v>
      </c>
      <c r="N91" s="77" t="s">
        <v>64</v>
      </c>
      <c r="O91" s="77" t="s">
        <v>65</v>
      </c>
      <c r="P91" s="75" t="s">
        <v>2</v>
      </c>
      <c r="Q91" s="75" t="s">
        <v>3</v>
      </c>
      <c r="R91" s="75" t="s">
        <v>66</v>
      </c>
      <c r="S91" s="80"/>
    </row>
    <row r="92" spans="8:32" ht="75">
      <c r="H92" s="74"/>
      <c r="I92" s="32" t="s">
        <v>4</v>
      </c>
      <c r="J92" s="32" t="s">
        <v>5</v>
      </c>
      <c r="K92" s="76"/>
      <c r="L92" s="76"/>
      <c r="M92" s="76"/>
      <c r="N92" s="78"/>
      <c r="O92" s="78"/>
      <c r="P92" s="76"/>
      <c r="Q92" s="76"/>
      <c r="R92" s="32" t="s">
        <v>6</v>
      </c>
      <c r="S92" s="3" t="s">
        <v>7</v>
      </c>
      <c r="X92" s="10" t="s">
        <v>10</v>
      </c>
      <c r="Y92" s="10" t="s">
        <v>11</v>
      </c>
      <c r="Z92" s="10" t="s">
        <v>12</v>
      </c>
      <c r="AA92" s="10" t="s">
        <v>62</v>
      </c>
      <c r="AB92" s="10" t="s">
        <v>13</v>
      </c>
      <c r="AC92" s="10" t="s">
        <v>14</v>
      </c>
      <c r="AD92" s="10" t="s">
        <v>15</v>
      </c>
      <c r="AE92" s="10" t="s">
        <v>16</v>
      </c>
    </row>
    <row r="93" spans="8:32">
      <c r="H93" s="12" t="s">
        <v>40</v>
      </c>
      <c r="I93" s="32">
        <v>250</v>
      </c>
      <c r="J93" s="32">
        <f t="shared" ref="J93:J112" si="22">I93+(I93*0.1)</f>
        <v>275</v>
      </c>
      <c r="K93" s="22">
        <f>AD112</f>
        <v>1917.7909999999999</v>
      </c>
      <c r="L93" s="32">
        <v>160</v>
      </c>
      <c r="M93" s="23">
        <f>L93-(2*L93/11)</f>
        <v>130.90909090909091</v>
      </c>
      <c r="N93" s="23">
        <f>0.0354*K93*10^6*10/(M93*14.3)</f>
        <v>362659.19551282044</v>
      </c>
      <c r="O93" s="26">
        <f>1/((1.82*LOG(N93)-1.64)^2)</f>
        <v>1.3911812268045873E-2</v>
      </c>
      <c r="P93" s="32">
        <f>1.2687*0.73*O93*K93*K93/(((M93/10)^5)*10^4)</f>
        <v>1.2325910960745903E-5</v>
      </c>
      <c r="Q93" s="32">
        <f>J93*P93</f>
        <v>3.3896255142051232E-3</v>
      </c>
      <c r="R93" s="28">
        <v>0.3</v>
      </c>
      <c r="S93" s="29">
        <f>SQRT((0.1+R93)^2-Q93)-0.1</f>
        <v>0.29574028666007068</v>
      </c>
      <c r="X93" s="12" t="s">
        <v>17</v>
      </c>
      <c r="Y93" s="13">
        <v>150</v>
      </c>
      <c r="Z93" s="13">
        <f>Y93</f>
        <v>150</v>
      </c>
      <c r="AA93" s="14">
        <f>(210-((Z93-100)/10))/1000</f>
        <v>0.20499999999999999</v>
      </c>
      <c r="AB93" s="12">
        <f>Z93*AB89*AA93</f>
        <v>36.9</v>
      </c>
      <c r="AC93" s="12">
        <f>Z93*0.85*AB90</f>
        <v>446.25</v>
      </c>
      <c r="AD93" s="12">
        <f>AB93+AC93</f>
        <v>483.15</v>
      </c>
      <c r="AE93" s="13">
        <v>96</v>
      </c>
      <c r="AF93" s="11"/>
    </row>
    <row r="94" spans="8:32">
      <c r="H94" s="15" t="s">
        <v>41</v>
      </c>
      <c r="I94" s="32">
        <v>185</v>
      </c>
      <c r="J94" s="32">
        <f t="shared" si="22"/>
        <v>203.5</v>
      </c>
      <c r="K94" s="22">
        <f>AD111</f>
        <v>1898.645</v>
      </c>
      <c r="L94" s="32">
        <v>160</v>
      </c>
      <c r="M94" s="23">
        <f t="shared" ref="M94:M112" si="23">L94-(2*L94/11)</f>
        <v>130.90909090909091</v>
      </c>
      <c r="N94" s="23">
        <f t="shared" ref="N94:N112" si="24">0.0354*K94*10^6*10/(M94*14.3)</f>
        <v>359038.63782051281</v>
      </c>
      <c r="O94" s="26">
        <f t="shared" ref="O94:O106" si="25">1/((1.82*LOG(N94)-1.64)^2)</f>
        <v>1.3937875283662653E-2</v>
      </c>
      <c r="P94" s="32">
        <f t="shared" ref="P94:P112" si="26">1.2687*0.73*O94*K94*K94/(((M94/10)^5)*10^4)</f>
        <v>1.2103664562620912E-5</v>
      </c>
      <c r="Q94" s="32">
        <f t="shared" ref="Q94:Q112" si="27">J94*P94</f>
        <v>2.4630957384933557E-3</v>
      </c>
      <c r="R94" s="28">
        <f>S93</f>
        <v>0.29574028666007068</v>
      </c>
      <c r="S94" s="29">
        <f t="shared" ref="S94:S112" si="28">SQRT((0.1+R94)^2-Q94)-0.1</f>
        <v>0.29261594306306715</v>
      </c>
      <c r="X94" s="15" t="s">
        <v>18</v>
      </c>
      <c r="Y94" s="13">
        <v>2</v>
      </c>
      <c r="Z94" s="13">
        <f t="shared" ref="Z94:Z112" si="29">Y94+Z93</f>
        <v>152</v>
      </c>
      <c r="AA94" s="14">
        <f t="shared" ref="AA94:AA102" si="30">(210-((Z94-100)/10))/1000</f>
        <v>0.20480000000000001</v>
      </c>
      <c r="AB94" s="12">
        <f>Z94*AB89*AA94</f>
        <v>37.355520000000006</v>
      </c>
      <c r="AC94" s="12">
        <f>Z94*0.85*AB90</f>
        <v>452.19999999999993</v>
      </c>
      <c r="AD94" s="12">
        <f t="shared" ref="AD94:AD112" si="31">AB94+AC94</f>
        <v>489.55551999999994</v>
      </c>
      <c r="AE94" s="13">
        <v>118</v>
      </c>
      <c r="AF94" s="11"/>
    </row>
    <row r="95" spans="8:32">
      <c r="H95" s="15" t="s">
        <v>42</v>
      </c>
      <c r="I95" s="32">
        <v>125</v>
      </c>
      <c r="J95" s="32">
        <f t="shared" si="22"/>
        <v>137.5</v>
      </c>
      <c r="K95" s="22">
        <f>AD110</f>
        <v>1847.5889999999999</v>
      </c>
      <c r="L95" s="32">
        <v>160</v>
      </c>
      <c r="M95" s="23">
        <f t="shared" si="23"/>
        <v>130.90909090909091</v>
      </c>
      <c r="N95" s="23">
        <f t="shared" si="24"/>
        <v>349383.81730769231</v>
      </c>
      <c r="O95" s="26">
        <f t="shared" si="25"/>
        <v>1.4009053786989448E-2</v>
      </c>
      <c r="P95" s="32">
        <f t="shared" si="26"/>
        <v>1.1519995352593064E-5</v>
      </c>
      <c r="Q95" s="32">
        <f t="shared" si="27"/>
        <v>1.5839993609815463E-3</v>
      </c>
      <c r="R95" s="28">
        <f t="shared" ref="R95:R112" si="32">S94</f>
        <v>0.29261594306306715</v>
      </c>
      <c r="S95" s="29">
        <f t="shared" si="28"/>
        <v>0.2905934963441148</v>
      </c>
      <c r="X95" s="15" t="s">
        <v>19</v>
      </c>
      <c r="Y95" s="13">
        <v>13</v>
      </c>
      <c r="Z95" s="13">
        <f t="shared" si="29"/>
        <v>165</v>
      </c>
      <c r="AA95" s="14">
        <f t="shared" si="30"/>
        <v>0.20349999999999999</v>
      </c>
      <c r="AB95" s="12">
        <f>Z95*AB89*AA95</f>
        <v>40.292999999999999</v>
      </c>
      <c r="AC95" s="12">
        <f>Z95*0.85*AB90</f>
        <v>490.875</v>
      </c>
      <c r="AD95" s="12">
        <f t="shared" si="31"/>
        <v>531.16800000000001</v>
      </c>
      <c r="AE95" s="13">
        <v>313</v>
      </c>
      <c r="AF95" s="11"/>
    </row>
    <row r="96" spans="8:32">
      <c r="H96" s="15" t="s">
        <v>43</v>
      </c>
      <c r="I96" s="32">
        <v>125</v>
      </c>
      <c r="J96" s="32">
        <f t="shared" si="22"/>
        <v>137.5</v>
      </c>
      <c r="K96" s="22">
        <f>AD109</f>
        <v>1796.5329999999999</v>
      </c>
      <c r="L96" s="32">
        <v>160</v>
      </c>
      <c r="M96" s="23">
        <f t="shared" si="23"/>
        <v>130.90909090909091</v>
      </c>
      <c r="N96" s="23">
        <f t="shared" si="24"/>
        <v>339728.99679487181</v>
      </c>
      <c r="O96" s="26">
        <f t="shared" si="25"/>
        <v>1.408279693142845E-2</v>
      </c>
      <c r="P96" s="32">
        <f t="shared" si="26"/>
        <v>1.0949444342684366E-5</v>
      </c>
      <c r="Q96" s="32">
        <f t="shared" si="27"/>
        <v>1.5055485971191003E-3</v>
      </c>
      <c r="R96" s="28">
        <f t="shared" si="32"/>
        <v>0.2905934963441148</v>
      </c>
      <c r="S96" s="29">
        <f t="shared" si="28"/>
        <v>0.2886614603857719</v>
      </c>
      <c r="X96" s="15" t="s">
        <v>20</v>
      </c>
      <c r="Y96" s="13">
        <v>10</v>
      </c>
      <c r="Z96" s="13">
        <f t="shared" si="29"/>
        <v>175</v>
      </c>
      <c r="AA96" s="14">
        <f t="shared" si="30"/>
        <v>0.20250000000000001</v>
      </c>
      <c r="AB96" s="12">
        <f>Z96*AB89*AA96</f>
        <v>42.525000000000006</v>
      </c>
      <c r="AC96" s="12">
        <f>Z96*0.85*AB90</f>
        <v>520.625</v>
      </c>
      <c r="AD96" s="12">
        <f t="shared" si="31"/>
        <v>563.15</v>
      </c>
      <c r="AE96" s="13">
        <v>86</v>
      </c>
      <c r="AF96" s="11"/>
    </row>
    <row r="97" spans="8:32">
      <c r="H97" s="15" t="s">
        <v>44</v>
      </c>
      <c r="I97" s="32">
        <v>125</v>
      </c>
      <c r="J97" s="32">
        <f t="shared" si="22"/>
        <v>137.5</v>
      </c>
      <c r="K97" s="22">
        <f>AD108</f>
        <v>1748.6679999999999</v>
      </c>
      <c r="L97" s="32">
        <v>160</v>
      </c>
      <c r="M97" s="23">
        <f t="shared" si="23"/>
        <v>130.90909090909091</v>
      </c>
      <c r="N97" s="23">
        <f t="shared" si="24"/>
        <v>330677.60256410256</v>
      </c>
      <c r="O97" s="26">
        <f t="shared" si="25"/>
        <v>1.4154412129247758E-2</v>
      </c>
      <c r="P97" s="32">
        <f t="shared" si="26"/>
        <v>1.0426518720221278E-5</v>
      </c>
      <c r="Q97" s="32">
        <f t="shared" si="27"/>
        <v>1.4336463240304258E-3</v>
      </c>
      <c r="R97" s="28">
        <f t="shared" si="32"/>
        <v>0.2886614603857719</v>
      </c>
      <c r="S97" s="29">
        <f t="shared" si="28"/>
        <v>0.28681272531442203</v>
      </c>
      <c r="X97" s="15" t="s">
        <v>21</v>
      </c>
      <c r="Y97" s="13">
        <v>33</v>
      </c>
      <c r="Z97" s="13">
        <f t="shared" si="29"/>
        <v>208</v>
      </c>
      <c r="AA97" s="14">
        <f t="shared" si="30"/>
        <v>0.19919999999999999</v>
      </c>
      <c r="AB97" s="12">
        <f>Z97*AB89*AA97</f>
        <v>49.720319999999994</v>
      </c>
      <c r="AC97" s="12">
        <f>Z97*0.85*AB90</f>
        <v>618.79999999999995</v>
      </c>
      <c r="AD97" s="12">
        <f t="shared" si="31"/>
        <v>668.52031999999997</v>
      </c>
      <c r="AE97" s="13">
        <v>86</v>
      </c>
      <c r="AF97" s="11"/>
    </row>
    <row r="98" spans="8:32">
      <c r="H98" s="16" t="s">
        <v>45</v>
      </c>
      <c r="I98" s="32">
        <v>125</v>
      </c>
      <c r="J98" s="32">
        <f t="shared" si="22"/>
        <v>137.5</v>
      </c>
      <c r="K98" s="22">
        <f>AD107</f>
        <v>1703.9939999999999</v>
      </c>
      <c r="L98" s="32">
        <v>160</v>
      </c>
      <c r="M98" s="23">
        <f t="shared" si="23"/>
        <v>130.90909090909091</v>
      </c>
      <c r="N98" s="23">
        <f t="shared" si="24"/>
        <v>322229.63461538462</v>
      </c>
      <c r="O98" s="26">
        <f t="shared" si="25"/>
        <v>1.422355797431441E-2</v>
      </c>
      <c r="P98" s="32">
        <f t="shared" si="26"/>
        <v>9.9489474056465814E-6</v>
      </c>
      <c r="Q98" s="32">
        <f t="shared" si="27"/>
        <v>1.367980268276405E-3</v>
      </c>
      <c r="R98" s="28">
        <f t="shared" si="32"/>
        <v>0.28681272531442203</v>
      </c>
      <c r="S98" s="29">
        <f t="shared" si="28"/>
        <v>0.28504039294195371</v>
      </c>
      <c r="X98" s="16" t="s">
        <v>22</v>
      </c>
      <c r="Y98" s="17">
        <v>39</v>
      </c>
      <c r="Z98" s="13">
        <f t="shared" si="29"/>
        <v>247</v>
      </c>
      <c r="AA98" s="14">
        <f t="shared" si="30"/>
        <v>0.1953</v>
      </c>
      <c r="AB98" s="12">
        <f>Z98*AB89*AA98</f>
        <v>57.886919999999996</v>
      </c>
      <c r="AC98" s="12">
        <f>Z98*0.85*AB90</f>
        <v>734.82499999999993</v>
      </c>
      <c r="AD98" s="12">
        <f t="shared" si="31"/>
        <v>792.71191999999996</v>
      </c>
      <c r="AE98" s="17">
        <v>87</v>
      </c>
    </row>
    <row r="99" spans="8:32">
      <c r="H99" s="16" t="s">
        <v>46</v>
      </c>
      <c r="I99" s="32">
        <v>150</v>
      </c>
      <c r="J99" s="32">
        <f t="shared" si="22"/>
        <v>165</v>
      </c>
      <c r="K99" s="22">
        <f>AD106</f>
        <v>1656.1289999999999</v>
      </c>
      <c r="L99" s="32">
        <v>160</v>
      </c>
      <c r="M99" s="23">
        <f t="shared" si="23"/>
        <v>130.90909090909091</v>
      </c>
      <c r="N99" s="23">
        <f t="shared" si="24"/>
        <v>313178.24038461538</v>
      </c>
      <c r="O99" s="26">
        <f t="shared" si="25"/>
        <v>1.4300271642611368E-2</v>
      </c>
      <c r="P99" s="32">
        <f t="shared" si="26"/>
        <v>9.4485545906692512E-6</v>
      </c>
      <c r="Q99" s="32">
        <f t="shared" si="27"/>
        <v>1.5590115074604264E-3</v>
      </c>
      <c r="R99" s="28">
        <f t="shared" si="32"/>
        <v>0.28504039294195371</v>
      </c>
      <c r="S99" s="29">
        <f t="shared" si="28"/>
        <v>0.28301056472300301</v>
      </c>
      <c r="X99" s="16" t="s">
        <v>23</v>
      </c>
      <c r="Y99" s="17">
        <v>36</v>
      </c>
      <c r="Z99" s="13">
        <f t="shared" si="29"/>
        <v>283</v>
      </c>
      <c r="AA99" s="14">
        <f t="shared" si="30"/>
        <v>0.19169999999999998</v>
      </c>
      <c r="AB99" s="12">
        <f>Z99*AB89*AA99</f>
        <v>65.101319999999987</v>
      </c>
      <c r="AC99" s="12">
        <f>Z99*0.85*AB90</f>
        <v>841.92499999999995</v>
      </c>
      <c r="AD99" s="12">
        <f t="shared" si="31"/>
        <v>907.02631999999994</v>
      </c>
      <c r="AE99" s="17">
        <v>83</v>
      </c>
    </row>
    <row r="100" spans="8:32">
      <c r="H100" s="16" t="s">
        <v>47</v>
      </c>
      <c r="I100" s="32">
        <v>190</v>
      </c>
      <c r="J100" s="32">
        <f t="shared" si="22"/>
        <v>209</v>
      </c>
      <c r="K100" s="22">
        <f>AD105</f>
        <v>1605.0729999999999</v>
      </c>
      <c r="L100" s="32">
        <v>160</v>
      </c>
      <c r="M100" s="23">
        <f t="shared" si="23"/>
        <v>130.90909090909091</v>
      </c>
      <c r="N100" s="23">
        <f t="shared" si="24"/>
        <v>303523.41987179487</v>
      </c>
      <c r="O100" s="26">
        <f t="shared" si="25"/>
        <v>1.4385300857100788E-2</v>
      </c>
      <c r="P100" s="32">
        <f t="shared" si="26"/>
        <v>8.9277350478573209E-6</v>
      </c>
      <c r="Q100" s="32">
        <f t="shared" si="27"/>
        <v>1.8658966250021801E-3</v>
      </c>
      <c r="R100" s="28">
        <f t="shared" si="32"/>
        <v>0.28301056472300301</v>
      </c>
      <c r="S100" s="29">
        <f t="shared" si="28"/>
        <v>0.28056694031987528</v>
      </c>
      <c r="X100" s="16" t="s">
        <v>24</v>
      </c>
      <c r="Y100" s="17">
        <v>35</v>
      </c>
      <c r="Z100" s="13">
        <f t="shared" si="29"/>
        <v>318</v>
      </c>
      <c r="AA100" s="14">
        <f t="shared" si="30"/>
        <v>0.18819999999999998</v>
      </c>
      <c r="AB100" s="12">
        <f>Z100*AB89*AA100</f>
        <v>71.817119999999989</v>
      </c>
      <c r="AC100" s="12">
        <f>Z100*0.85*AB90</f>
        <v>946.05000000000007</v>
      </c>
      <c r="AD100" s="12">
        <f t="shared" si="31"/>
        <v>1017.8671200000001</v>
      </c>
      <c r="AE100" s="17">
        <v>103</v>
      </c>
    </row>
    <row r="101" spans="8:32">
      <c r="H101" s="16" t="s">
        <v>49</v>
      </c>
      <c r="I101" s="32">
        <v>700</v>
      </c>
      <c r="J101" s="32">
        <f t="shared" si="22"/>
        <v>770</v>
      </c>
      <c r="K101" s="22">
        <f>AD104</f>
        <v>1563.59</v>
      </c>
      <c r="L101" s="32">
        <v>160</v>
      </c>
      <c r="M101" s="23">
        <f t="shared" si="23"/>
        <v>130.90909090909091</v>
      </c>
      <c r="N101" s="23">
        <f t="shared" si="24"/>
        <v>295678.87820512813</v>
      </c>
      <c r="O101" s="26">
        <f t="shared" si="25"/>
        <v>1.4456986550047686E-2</v>
      </c>
      <c r="P101" s="32">
        <f t="shared" si="26"/>
        <v>8.5144443387120158E-6</v>
      </c>
      <c r="Q101" s="32">
        <f t="shared" si="27"/>
        <v>6.5561221408082524E-3</v>
      </c>
      <c r="R101" s="28">
        <f t="shared" si="32"/>
        <v>0.28056694031987528</v>
      </c>
      <c r="S101" s="29">
        <f t="shared" si="28"/>
        <v>0.2718535651619105</v>
      </c>
      <c r="X101" s="16" t="s">
        <v>25</v>
      </c>
      <c r="Y101" s="17">
        <v>16</v>
      </c>
      <c r="Z101" s="13">
        <f t="shared" si="29"/>
        <v>334</v>
      </c>
      <c r="AA101" s="14">
        <f t="shared" si="30"/>
        <v>0.18659999999999999</v>
      </c>
      <c r="AB101" s="12">
        <f>Z101*AB89*AA101</f>
        <v>74.789279999999991</v>
      </c>
      <c r="AC101" s="12">
        <f>Z101*0.85*AB90</f>
        <v>993.64999999999986</v>
      </c>
      <c r="AD101" s="12">
        <f t="shared" si="31"/>
        <v>1068.4392799999998</v>
      </c>
      <c r="AE101" s="17">
        <v>40</v>
      </c>
    </row>
    <row r="102" spans="8:32">
      <c r="H102" s="16" t="s">
        <v>48</v>
      </c>
      <c r="I102" s="32">
        <v>375</v>
      </c>
      <c r="J102" s="32">
        <f t="shared" si="22"/>
        <v>412.5</v>
      </c>
      <c r="K102" s="22">
        <f>AD103</f>
        <v>1244.49</v>
      </c>
      <c r="L102" s="32">
        <v>160</v>
      </c>
      <c r="M102" s="23">
        <f t="shared" si="23"/>
        <v>130.90909090909091</v>
      </c>
      <c r="N102" s="23">
        <f t="shared" si="24"/>
        <v>235336.25</v>
      </c>
      <c r="O102" s="26">
        <f t="shared" si="25"/>
        <v>1.5105237337017244E-2</v>
      </c>
      <c r="P102" s="32">
        <f t="shared" si="26"/>
        <v>5.6356386788379017E-6</v>
      </c>
      <c r="Q102" s="32">
        <f t="shared" si="27"/>
        <v>2.3247009550206345E-3</v>
      </c>
      <c r="R102" s="28">
        <f t="shared" si="32"/>
        <v>0.2718535651619105</v>
      </c>
      <c r="S102" s="29">
        <f t="shared" si="28"/>
        <v>0.26871448706092704</v>
      </c>
      <c r="X102" s="16" t="s">
        <v>26</v>
      </c>
      <c r="Y102" s="17">
        <v>27</v>
      </c>
      <c r="Z102" s="13">
        <f t="shared" si="29"/>
        <v>361</v>
      </c>
      <c r="AA102" s="14">
        <f t="shared" si="30"/>
        <v>0.18390000000000001</v>
      </c>
      <c r="AB102" s="12">
        <f>Z102*AB89*AA102</f>
        <v>79.665480000000002</v>
      </c>
      <c r="AC102" s="12">
        <f>Z102*0.85*AB90</f>
        <v>1073.9749999999999</v>
      </c>
      <c r="AD102" s="12">
        <f t="shared" si="31"/>
        <v>1153.64048</v>
      </c>
      <c r="AE102" s="17">
        <v>110</v>
      </c>
    </row>
    <row r="103" spans="8:32">
      <c r="H103" s="16" t="s">
        <v>50</v>
      </c>
      <c r="I103" s="32">
        <v>110</v>
      </c>
      <c r="J103" s="32">
        <f t="shared" si="22"/>
        <v>121</v>
      </c>
      <c r="K103" s="22">
        <f>AD102</f>
        <v>1153.64048</v>
      </c>
      <c r="L103" s="32">
        <v>110</v>
      </c>
      <c r="M103" s="23">
        <f t="shared" si="23"/>
        <v>90</v>
      </c>
      <c r="N103" s="23">
        <f t="shared" si="24"/>
        <v>317318.36046620045</v>
      </c>
      <c r="O103" s="26">
        <f t="shared" si="25"/>
        <v>1.4264834355304772E-2</v>
      </c>
      <c r="P103" s="32">
        <f t="shared" si="26"/>
        <v>2.9776726975530031E-5</v>
      </c>
      <c r="Q103" s="32">
        <f t="shared" si="27"/>
        <v>3.6029839640391338E-3</v>
      </c>
      <c r="R103" s="28">
        <f t="shared" si="32"/>
        <v>0.26871448706092704</v>
      </c>
      <c r="S103" s="29">
        <f t="shared" si="28"/>
        <v>0.26379580674406267</v>
      </c>
      <c r="X103" s="16" t="s">
        <v>27</v>
      </c>
      <c r="Y103" s="17">
        <v>29</v>
      </c>
      <c r="Z103" s="13">
        <f t="shared" si="29"/>
        <v>390</v>
      </c>
      <c r="AA103" s="14">
        <v>0.18</v>
      </c>
      <c r="AB103" s="12">
        <f>Z103*AB89*AA103</f>
        <v>84.24</v>
      </c>
      <c r="AC103" s="12">
        <f>Z103*0.85*AB90</f>
        <v>1160.25</v>
      </c>
      <c r="AD103" s="12">
        <f t="shared" si="31"/>
        <v>1244.49</v>
      </c>
      <c r="AE103" s="17">
        <v>375</v>
      </c>
    </row>
    <row r="104" spans="8:32">
      <c r="H104" s="16" t="s">
        <v>51</v>
      </c>
      <c r="I104" s="32">
        <v>40</v>
      </c>
      <c r="J104" s="32">
        <f t="shared" si="22"/>
        <v>44</v>
      </c>
      <c r="K104" s="22">
        <f>AD101</f>
        <v>1068.4392799999998</v>
      </c>
      <c r="L104" s="32">
        <v>110</v>
      </c>
      <c r="M104" s="23">
        <f t="shared" si="23"/>
        <v>90</v>
      </c>
      <c r="N104" s="23">
        <f t="shared" si="24"/>
        <v>293883.06536130531</v>
      </c>
      <c r="O104" s="26">
        <f t="shared" si="25"/>
        <v>1.4473741480313961E-2</v>
      </c>
      <c r="P104" s="32">
        <f t="shared" si="26"/>
        <v>2.5914913054148821E-5</v>
      </c>
      <c r="Q104" s="32">
        <f t="shared" si="27"/>
        <v>1.1402561743825482E-3</v>
      </c>
      <c r="R104" s="28">
        <f t="shared" si="32"/>
        <v>0.26379580674406267</v>
      </c>
      <c r="S104" s="29">
        <f t="shared" si="28"/>
        <v>0.26222525150820286</v>
      </c>
      <c r="X104" s="16" t="s">
        <v>28</v>
      </c>
      <c r="Y104" s="17">
        <v>100</v>
      </c>
      <c r="Z104" s="13">
        <f t="shared" si="29"/>
        <v>490</v>
      </c>
      <c r="AA104" s="14">
        <v>0.18</v>
      </c>
      <c r="AB104" s="12">
        <f>Z104*AB89*AA104</f>
        <v>105.83999999999999</v>
      </c>
      <c r="AC104" s="12">
        <f>Z104*0.85*AB90</f>
        <v>1457.75</v>
      </c>
      <c r="AD104" s="12">
        <f t="shared" si="31"/>
        <v>1563.59</v>
      </c>
      <c r="AE104" s="17">
        <v>700</v>
      </c>
    </row>
    <row r="105" spans="8:32">
      <c r="H105" s="16" t="s">
        <v>52</v>
      </c>
      <c r="I105" s="32">
        <v>103</v>
      </c>
      <c r="J105" s="32">
        <f t="shared" si="22"/>
        <v>113.3</v>
      </c>
      <c r="K105" s="22">
        <f>AD100</f>
        <v>1017.8671200000001</v>
      </c>
      <c r="L105" s="32">
        <v>110</v>
      </c>
      <c r="M105" s="23">
        <f t="shared" si="23"/>
        <v>90</v>
      </c>
      <c r="N105" s="23">
        <f t="shared" si="24"/>
        <v>279972.7742657343</v>
      </c>
      <c r="O105" s="26">
        <f t="shared" si="25"/>
        <v>1.4608147061571625E-2</v>
      </c>
      <c r="P105" s="32">
        <f t="shared" si="26"/>
        <v>2.3738132868814199E-5</v>
      </c>
      <c r="Q105" s="32">
        <f t="shared" si="27"/>
        <v>2.6895304540366489E-3</v>
      </c>
      <c r="R105" s="28">
        <f t="shared" si="32"/>
        <v>0.26222525150820286</v>
      </c>
      <c r="S105" s="29">
        <f t="shared" si="28"/>
        <v>0.25849351789975805</v>
      </c>
      <c r="X105" s="16" t="s">
        <v>29</v>
      </c>
      <c r="Y105" s="17">
        <v>13</v>
      </c>
      <c r="Z105" s="13">
        <f t="shared" si="29"/>
        <v>503</v>
      </c>
      <c r="AA105" s="14">
        <v>0.18</v>
      </c>
      <c r="AB105" s="12">
        <f>Z105*AB89*AA105</f>
        <v>108.648</v>
      </c>
      <c r="AC105" s="12">
        <f>Z105*0.85*AB90</f>
        <v>1496.425</v>
      </c>
      <c r="AD105" s="12">
        <f t="shared" si="31"/>
        <v>1605.0729999999999</v>
      </c>
      <c r="AE105" s="17">
        <v>190</v>
      </c>
    </row>
    <row r="106" spans="8:32">
      <c r="H106" s="16" t="s">
        <v>53</v>
      </c>
      <c r="I106" s="32">
        <v>83</v>
      </c>
      <c r="J106" s="32">
        <f t="shared" si="22"/>
        <v>91.3</v>
      </c>
      <c r="K106" s="22">
        <f>AD99</f>
        <v>907.02631999999994</v>
      </c>
      <c r="L106" s="32">
        <v>110</v>
      </c>
      <c r="M106" s="23">
        <f t="shared" si="23"/>
        <v>90</v>
      </c>
      <c r="N106" s="23">
        <f t="shared" si="24"/>
        <v>249485.09501165504</v>
      </c>
      <c r="O106" s="26">
        <f t="shared" si="25"/>
        <v>1.493533982457448E-2</v>
      </c>
      <c r="P106" s="32">
        <f t="shared" si="26"/>
        <v>1.9271882560472213E-5</v>
      </c>
      <c r="Q106" s="32">
        <f t="shared" si="27"/>
        <v>1.7595228777711129E-3</v>
      </c>
      <c r="R106" s="28">
        <f t="shared" si="32"/>
        <v>0.25849351789975805</v>
      </c>
      <c r="S106" s="29">
        <f t="shared" si="28"/>
        <v>0.25603100918090405</v>
      </c>
      <c r="X106" s="16" t="s">
        <v>30</v>
      </c>
      <c r="Y106" s="17">
        <v>16</v>
      </c>
      <c r="Z106" s="13">
        <f t="shared" si="29"/>
        <v>519</v>
      </c>
      <c r="AA106" s="14">
        <v>0.18</v>
      </c>
      <c r="AB106" s="12">
        <f>Z106*AB89*AA106</f>
        <v>112.10399999999998</v>
      </c>
      <c r="AC106" s="12">
        <f>Z106*0.85*AB90</f>
        <v>1544.0249999999999</v>
      </c>
      <c r="AD106" s="12">
        <f t="shared" si="31"/>
        <v>1656.1289999999999</v>
      </c>
      <c r="AE106" s="17">
        <v>150</v>
      </c>
    </row>
    <row r="107" spans="8:32">
      <c r="H107" s="16" t="s">
        <v>54</v>
      </c>
      <c r="I107" s="32">
        <v>87</v>
      </c>
      <c r="J107" s="32">
        <f t="shared" si="22"/>
        <v>95.7</v>
      </c>
      <c r="K107" s="22">
        <f>AD98</f>
        <v>792.71191999999996</v>
      </c>
      <c r="L107" s="32">
        <v>110</v>
      </c>
      <c r="M107" s="23">
        <f t="shared" si="23"/>
        <v>90</v>
      </c>
      <c r="N107" s="23">
        <f t="shared" si="24"/>
        <v>218041.97333333333</v>
      </c>
      <c r="O107" s="26">
        <f>1/((1.82*LOG(N107)-1.64)^2)</f>
        <v>1.5331759596579862E-2</v>
      </c>
      <c r="P107" s="32">
        <f t="shared" si="26"/>
        <v>1.5110959134701167E-5</v>
      </c>
      <c r="Q107" s="32">
        <f t="shared" si="27"/>
        <v>1.4461187891909018E-3</v>
      </c>
      <c r="R107" s="28">
        <f t="shared" si="32"/>
        <v>0.25603100918090405</v>
      </c>
      <c r="S107" s="29">
        <f t="shared" si="28"/>
        <v>0.25399429474100577</v>
      </c>
      <c r="X107" s="16" t="s">
        <v>31</v>
      </c>
      <c r="Y107" s="17">
        <v>15</v>
      </c>
      <c r="Z107" s="13">
        <f t="shared" si="29"/>
        <v>534</v>
      </c>
      <c r="AA107" s="14">
        <v>0.18</v>
      </c>
      <c r="AB107" s="12">
        <f>Z107*AB89*AA107</f>
        <v>115.34399999999999</v>
      </c>
      <c r="AC107" s="12">
        <f>Z107*0.85*AB90</f>
        <v>1588.6499999999999</v>
      </c>
      <c r="AD107" s="12">
        <f t="shared" si="31"/>
        <v>1703.9939999999999</v>
      </c>
      <c r="AE107" s="17">
        <v>125</v>
      </c>
    </row>
    <row r="108" spans="8:32">
      <c r="H108" s="16" t="s">
        <v>55</v>
      </c>
      <c r="I108" s="32">
        <v>86</v>
      </c>
      <c r="J108" s="32">
        <f t="shared" si="22"/>
        <v>94.6</v>
      </c>
      <c r="K108" s="22">
        <f>AD97</f>
        <v>668.52031999999997</v>
      </c>
      <c r="L108" s="32">
        <v>110</v>
      </c>
      <c r="M108" s="23">
        <f t="shared" si="23"/>
        <v>90</v>
      </c>
      <c r="N108" s="23">
        <f t="shared" si="24"/>
        <v>183882.04606060605</v>
      </c>
      <c r="O108" s="26">
        <f t="shared" ref="O108:O112" si="33">1/((1.82*LOG(N108)-1.64)^2)</f>
        <v>1.5856200255806734E-2</v>
      </c>
      <c r="P108" s="32">
        <f t="shared" si="26"/>
        <v>1.1114696279838086E-5</v>
      </c>
      <c r="Q108" s="32">
        <f t="shared" si="27"/>
        <v>1.051450268072683E-3</v>
      </c>
      <c r="R108" s="28">
        <f t="shared" si="32"/>
        <v>0.25399429474100577</v>
      </c>
      <c r="S108" s="29">
        <f t="shared" si="28"/>
        <v>0.25250604312707803</v>
      </c>
      <c r="X108" s="16" t="s">
        <v>32</v>
      </c>
      <c r="Y108" s="17">
        <v>14</v>
      </c>
      <c r="Z108" s="13">
        <f t="shared" si="29"/>
        <v>548</v>
      </c>
      <c r="AA108" s="14">
        <v>0.18</v>
      </c>
      <c r="AB108" s="12">
        <f>Z108*AB89*AA108</f>
        <v>118.36799999999999</v>
      </c>
      <c r="AC108" s="12">
        <f>Z108*0.85*AB90</f>
        <v>1630.3</v>
      </c>
      <c r="AD108" s="12">
        <f t="shared" si="31"/>
        <v>1748.6679999999999</v>
      </c>
      <c r="AE108" s="17">
        <v>125</v>
      </c>
    </row>
    <row r="109" spans="8:32">
      <c r="H109" s="16" t="s">
        <v>56</v>
      </c>
      <c r="I109" s="32">
        <v>86</v>
      </c>
      <c r="J109" s="32">
        <f t="shared" si="22"/>
        <v>94.6</v>
      </c>
      <c r="K109" s="22">
        <f>AD96</f>
        <v>563.15</v>
      </c>
      <c r="L109" s="32">
        <v>110</v>
      </c>
      <c r="M109" s="23">
        <f t="shared" si="23"/>
        <v>90</v>
      </c>
      <c r="N109" s="23">
        <f t="shared" si="24"/>
        <v>154899.06759906761</v>
      </c>
      <c r="O109" s="26">
        <f t="shared" si="33"/>
        <v>1.6411764526058106E-2</v>
      </c>
      <c r="P109" s="32">
        <f t="shared" si="26"/>
        <v>8.1634306339006291E-6</v>
      </c>
      <c r="Q109" s="32">
        <f t="shared" si="27"/>
        <v>7.7226053796699949E-4</v>
      </c>
      <c r="R109" s="28">
        <f t="shared" si="32"/>
        <v>0.25250604312707803</v>
      </c>
      <c r="S109" s="29">
        <f t="shared" si="28"/>
        <v>0.25140894966284277</v>
      </c>
      <c r="X109" s="16" t="s">
        <v>33</v>
      </c>
      <c r="Y109" s="17">
        <v>15</v>
      </c>
      <c r="Z109" s="13">
        <f t="shared" si="29"/>
        <v>563</v>
      </c>
      <c r="AA109" s="14">
        <v>0.18</v>
      </c>
      <c r="AB109" s="12">
        <f>Z109*AB89*AA109</f>
        <v>121.608</v>
      </c>
      <c r="AC109" s="12">
        <f>Z109*0.85*AB90</f>
        <v>1674.925</v>
      </c>
      <c r="AD109" s="12">
        <f t="shared" si="31"/>
        <v>1796.5329999999999</v>
      </c>
      <c r="AE109" s="17">
        <v>125</v>
      </c>
    </row>
    <row r="110" spans="8:32">
      <c r="H110" s="16" t="s">
        <v>57</v>
      </c>
      <c r="I110" s="32">
        <v>313</v>
      </c>
      <c r="J110" s="32">
        <f t="shared" si="22"/>
        <v>344.3</v>
      </c>
      <c r="K110" s="22">
        <f>AD95</f>
        <v>531.16800000000001</v>
      </c>
      <c r="L110" s="32">
        <v>110</v>
      </c>
      <c r="M110" s="23">
        <f t="shared" si="23"/>
        <v>90</v>
      </c>
      <c r="N110" s="23">
        <f t="shared" si="24"/>
        <v>146102.15384615384</v>
      </c>
      <c r="O110" s="26">
        <f t="shared" si="33"/>
        <v>1.6607831538213817E-2</v>
      </c>
      <c r="P110" s="32">
        <f t="shared" si="26"/>
        <v>7.3493002450489695E-6</v>
      </c>
      <c r="Q110" s="32">
        <f t="shared" si="27"/>
        <v>2.5303640743703604E-3</v>
      </c>
      <c r="R110" s="28">
        <f t="shared" si="32"/>
        <v>0.25140894966284277</v>
      </c>
      <c r="S110" s="29">
        <f t="shared" si="28"/>
        <v>0.24779000248536756</v>
      </c>
      <c r="X110" s="16" t="s">
        <v>34</v>
      </c>
      <c r="Y110" s="17">
        <v>16</v>
      </c>
      <c r="Z110" s="13">
        <f t="shared" si="29"/>
        <v>579</v>
      </c>
      <c r="AA110" s="14">
        <v>0.18</v>
      </c>
      <c r="AB110" s="12">
        <f>Z110*AB89*AA110</f>
        <v>125.06399999999999</v>
      </c>
      <c r="AC110" s="12">
        <f>Z110*0.85*AB90</f>
        <v>1722.5249999999999</v>
      </c>
      <c r="AD110" s="12">
        <f t="shared" si="31"/>
        <v>1847.5889999999999</v>
      </c>
      <c r="AE110" s="17">
        <v>125</v>
      </c>
    </row>
    <row r="111" spans="8:32">
      <c r="H111" s="16" t="s">
        <v>58</v>
      </c>
      <c r="I111" s="32">
        <v>118</v>
      </c>
      <c r="J111" s="32">
        <f t="shared" si="22"/>
        <v>129.80000000000001</v>
      </c>
      <c r="K111" s="22">
        <f>AD94</f>
        <v>489.55551999999994</v>
      </c>
      <c r="L111" s="32">
        <v>110</v>
      </c>
      <c r="M111" s="23">
        <f t="shared" si="23"/>
        <v>90</v>
      </c>
      <c r="N111" s="23">
        <f t="shared" si="24"/>
        <v>134656.29687645685</v>
      </c>
      <c r="O111" s="26">
        <f t="shared" si="33"/>
        <v>1.6887331133470771E-2</v>
      </c>
      <c r="P111" s="32">
        <f t="shared" si="26"/>
        <v>6.3479599158011428E-6</v>
      </c>
      <c r="Q111" s="32">
        <f t="shared" si="27"/>
        <v>8.239651970709884E-4</v>
      </c>
      <c r="R111" s="28">
        <f t="shared" si="32"/>
        <v>0.24779000248536756</v>
      </c>
      <c r="S111" s="29">
        <f t="shared" si="28"/>
        <v>0.24660340539541872</v>
      </c>
      <c r="X111" s="16" t="s">
        <v>35</v>
      </c>
      <c r="Y111" s="17">
        <v>16</v>
      </c>
      <c r="Z111" s="13">
        <f t="shared" si="29"/>
        <v>595</v>
      </c>
      <c r="AA111" s="14">
        <v>0.18</v>
      </c>
      <c r="AB111" s="12">
        <f>Z111*AB89*AA111</f>
        <v>128.51999999999998</v>
      </c>
      <c r="AC111" s="12">
        <f>Z111*0.85*AB90</f>
        <v>1770.125</v>
      </c>
      <c r="AD111" s="12">
        <f t="shared" si="31"/>
        <v>1898.645</v>
      </c>
      <c r="AE111" s="17">
        <v>185</v>
      </c>
    </row>
    <row r="112" spans="8:32">
      <c r="H112" s="16" t="s">
        <v>59</v>
      </c>
      <c r="I112" s="32">
        <v>96</v>
      </c>
      <c r="J112" s="32">
        <f t="shared" si="22"/>
        <v>105.6</v>
      </c>
      <c r="K112" s="22">
        <f>AD93</f>
        <v>483.15</v>
      </c>
      <c r="L112" s="32">
        <v>110</v>
      </c>
      <c r="M112" s="23">
        <f t="shared" si="23"/>
        <v>90</v>
      </c>
      <c r="N112" s="23">
        <f t="shared" si="24"/>
        <v>132894.4055944056</v>
      </c>
      <c r="O112" s="26">
        <f t="shared" si="33"/>
        <v>1.6933115635945181E-2</v>
      </c>
      <c r="P112" s="32">
        <f t="shared" si="26"/>
        <v>6.1996917199673356E-6</v>
      </c>
      <c r="Q112" s="32">
        <f t="shared" si="27"/>
        <v>6.546874456285506E-4</v>
      </c>
      <c r="R112" s="28">
        <f t="shared" si="32"/>
        <v>0.24660340539541872</v>
      </c>
      <c r="S112" s="29">
        <f t="shared" si="28"/>
        <v>0.24565768208745545</v>
      </c>
      <c r="X112" s="16" t="s">
        <v>36</v>
      </c>
      <c r="Y112" s="17">
        <v>6</v>
      </c>
      <c r="Z112" s="13">
        <f t="shared" si="29"/>
        <v>601</v>
      </c>
      <c r="AA112" s="14">
        <v>0.18</v>
      </c>
      <c r="AB112" s="12">
        <f>Z112*AB89*AA112</f>
        <v>129.81599999999997</v>
      </c>
      <c r="AC112" s="12">
        <f>Z112*0.85*AB90</f>
        <v>1787.9749999999999</v>
      </c>
      <c r="AD112" s="12">
        <f t="shared" si="31"/>
        <v>1917.7909999999999</v>
      </c>
      <c r="AE112" s="17">
        <v>250</v>
      </c>
    </row>
    <row r="113" spans="8:32">
      <c r="H113" s="4"/>
      <c r="I113" s="32"/>
      <c r="J113" s="32"/>
      <c r="K113" s="32"/>
      <c r="L113" s="32"/>
      <c r="M113" s="23"/>
      <c r="N113" s="23"/>
      <c r="O113" s="23"/>
      <c r="P113" s="32"/>
      <c r="Q113" s="32"/>
      <c r="R113" s="32"/>
      <c r="S113" s="3"/>
      <c r="X113" s="8"/>
      <c r="Y113" s="18"/>
      <c r="Z113" s="18"/>
      <c r="AA113" s="18"/>
      <c r="AB113" s="18"/>
      <c r="AC113" s="19"/>
      <c r="AD113" s="20"/>
      <c r="AE113" s="18">
        <f>SUM(AE93:AE112)</f>
        <v>3472</v>
      </c>
      <c r="AF113" s="1" t="s">
        <v>37</v>
      </c>
    </row>
    <row r="114" spans="8:32">
      <c r="H114" s="4"/>
      <c r="I114" s="32"/>
      <c r="J114" s="32"/>
      <c r="K114" s="32"/>
      <c r="L114" s="32"/>
      <c r="M114" s="23"/>
      <c r="N114" s="23"/>
      <c r="O114" s="23"/>
      <c r="P114" s="32"/>
      <c r="Q114" s="32"/>
      <c r="R114" s="32"/>
      <c r="S114" s="3"/>
      <c r="X114" s="8"/>
      <c r="Y114" s="18"/>
      <c r="Z114" s="18"/>
      <c r="AA114" s="18" t="s">
        <v>38</v>
      </c>
      <c r="AB114" s="21">
        <f>AB112+AC112</f>
        <v>1917.7909999999999</v>
      </c>
      <c r="AC114" s="18" t="s">
        <v>39</v>
      </c>
      <c r="AD114" s="18"/>
      <c r="AE114" s="18"/>
    </row>
    <row r="115" spans="8:32">
      <c r="H115" s="4"/>
      <c r="I115" s="32"/>
      <c r="J115" s="32"/>
      <c r="K115" s="32"/>
      <c r="L115" s="32"/>
      <c r="M115" s="23"/>
      <c r="N115" s="23"/>
      <c r="O115" s="23"/>
      <c r="P115" s="32"/>
      <c r="Q115" s="32"/>
      <c r="R115" s="32"/>
      <c r="S115" s="3"/>
    </row>
    <row r="116" spans="8:32">
      <c r="H116" s="4"/>
      <c r="I116" s="32"/>
      <c r="J116" s="32"/>
      <c r="K116" s="32"/>
      <c r="L116" s="32"/>
      <c r="M116" s="23"/>
      <c r="N116" s="23"/>
      <c r="O116" s="23"/>
      <c r="P116" s="32"/>
      <c r="Q116" s="32"/>
      <c r="R116" s="32"/>
      <c r="S116" s="3"/>
    </row>
    <row r="117" spans="8:32" ht="19.5" thickBot="1">
      <c r="H117" s="5"/>
      <c r="I117" s="6"/>
      <c r="J117" s="6"/>
      <c r="K117" s="6"/>
      <c r="L117" s="6"/>
      <c r="M117" s="25"/>
      <c r="N117" s="25"/>
      <c r="O117" s="25"/>
      <c r="P117" s="6"/>
      <c r="Q117" s="6"/>
      <c r="R117" s="6"/>
      <c r="S117" s="7"/>
    </row>
    <row r="118" spans="8:32" ht="19.5" thickTop="1"/>
    <row r="121" spans="8:32">
      <c r="I121" s="79" t="s">
        <v>71</v>
      </c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8:32"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Z122" s="1" t="s">
        <v>8</v>
      </c>
      <c r="AB122" s="9">
        <v>1.2</v>
      </c>
      <c r="AC122" s="9"/>
      <c r="AD122" s="9"/>
    </row>
    <row r="123" spans="8:32" ht="19.5" thickBot="1">
      <c r="Z123" s="1" t="s">
        <v>68</v>
      </c>
      <c r="AB123" s="9">
        <v>3.5</v>
      </c>
      <c r="AC123" s="1" t="s">
        <v>9</v>
      </c>
    </row>
    <row r="124" spans="8:32" ht="39" customHeight="1" thickTop="1">
      <c r="H124" s="73" t="s">
        <v>0</v>
      </c>
      <c r="I124" s="75" t="s">
        <v>61</v>
      </c>
      <c r="J124" s="75"/>
      <c r="K124" s="75" t="s">
        <v>1</v>
      </c>
      <c r="L124" s="75" t="s">
        <v>74</v>
      </c>
      <c r="M124" s="75" t="s">
        <v>63</v>
      </c>
      <c r="N124" s="77" t="s">
        <v>64</v>
      </c>
      <c r="O124" s="77" t="s">
        <v>65</v>
      </c>
      <c r="P124" s="75" t="s">
        <v>72</v>
      </c>
      <c r="Q124" s="75"/>
      <c r="R124" s="75" t="s">
        <v>66</v>
      </c>
      <c r="S124" s="80"/>
    </row>
    <row r="125" spans="8:32" ht="75">
      <c r="H125" s="74"/>
      <c r="I125" s="33" t="s">
        <v>4</v>
      </c>
      <c r="J125" s="33" t="s">
        <v>5</v>
      </c>
      <c r="K125" s="76"/>
      <c r="L125" s="76"/>
      <c r="M125" s="76"/>
      <c r="N125" s="78"/>
      <c r="O125" s="78"/>
      <c r="P125" s="76"/>
      <c r="Q125" s="76"/>
      <c r="R125" s="33" t="s">
        <v>6</v>
      </c>
      <c r="S125" s="3" t="s">
        <v>7</v>
      </c>
      <c r="X125" s="10" t="s">
        <v>10</v>
      </c>
      <c r="Y125" s="10" t="s">
        <v>11</v>
      </c>
      <c r="Z125" s="10" t="s">
        <v>12</v>
      </c>
      <c r="AA125" s="10" t="s">
        <v>62</v>
      </c>
      <c r="AB125" s="10" t="s">
        <v>13</v>
      </c>
      <c r="AC125" s="10" t="s">
        <v>14</v>
      </c>
      <c r="AD125" s="10" t="s">
        <v>15</v>
      </c>
      <c r="AE125" s="10" t="s">
        <v>16</v>
      </c>
    </row>
    <row r="126" spans="8:32">
      <c r="H126" s="12" t="s">
        <v>40</v>
      </c>
      <c r="I126" s="33">
        <v>250</v>
      </c>
      <c r="J126" s="33">
        <f t="shared" ref="J126:J145" si="34">I126+(I126*0.1)</f>
        <v>275</v>
      </c>
      <c r="K126" s="22">
        <f>AD145</f>
        <v>1917.7909999999999</v>
      </c>
      <c r="L126" s="33" t="s">
        <v>73</v>
      </c>
      <c r="M126" s="23">
        <v>100</v>
      </c>
      <c r="N126" s="23">
        <f>0.0354*K126*10^6*10/(M126*14.3)</f>
        <v>474753.85594405589</v>
      </c>
      <c r="O126" s="26">
        <f>1/((1.82*LOG(N126)-1.64)^2)</f>
        <v>1.3238636062711117E-2</v>
      </c>
      <c r="P126" s="33">
        <f>1.2687*0.73*O126*K126*K126/(((M126/10)^5)*10^4)*J126</f>
        <v>1.2401102283592383E-2</v>
      </c>
      <c r="Q126" s="33"/>
      <c r="R126" s="28">
        <v>0.3</v>
      </c>
      <c r="S126" s="29">
        <f>SQRT((0.1+R126)^2-P126)-0.1</f>
        <v>0.28418601967849855</v>
      </c>
      <c r="X126" s="12" t="s">
        <v>17</v>
      </c>
      <c r="Y126" s="13">
        <v>150</v>
      </c>
      <c r="Z126" s="13">
        <f>Y126</f>
        <v>150</v>
      </c>
      <c r="AA126" s="14">
        <f>(210-((Z126-100)/10))/1000</f>
        <v>0.20499999999999999</v>
      </c>
      <c r="AB126" s="12">
        <f>Z126*AB122*AA126</f>
        <v>36.9</v>
      </c>
      <c r="AC126" s="12">
        <f>Z126*0.85*AB123</f>
        <v>446.25</v>
      </c>
      <c r="AD126" s="12">
        <f>AB126+AC126</f>
        <v>483.15</v>
      </c>
      <c r="AE126" s="13">
        <v>96</v>
      </c>
      <c r="AF126" s="11"/>
    </row>
    <row r="127" spans="8:32">
      <c r="H127" s="15" t="s">
        <v>41</v>
      </c>
      <c r="I127" s="33">
        <v>185</v>
      </c>
      <c r="J127" s="33">
        <f t="shared" si="34"/>
        <v>203.5</v>
      </c>
      <c r="K127" s="22">
        <f>AD144</f>
        <v>1898.645</v>
      </c>
      <c r="L127" s="33">
        <v>160</v>
      </c>
      <c r="M127" s="23">
        <f t="shared" ref="M127:M145" si="35">L127-(2*L127/11)</f>
        <v>130.90909090909091</v>
      </c>
      <c r="N127" s="23">
        <f t="shared" ref="N127:N145" si="36">0.0354*K127*10^6*10/(M127*14.3)</f>
        <v>359038.63782051281</v>
      </c>
      <c r="O127" s="26">
        <f t="shared" ref="O127:O139" si="37">1/((1.82*LOG(N127)-1.64)^2)</f>
        <v>1.3937875283662653E-2</v>
      </c>
      <c r="P127" s="33">
        <f t="shared" ref="P127:P145" si="38">1.2687*0.73*O127*K127*K127/(((M127/10)^5)*10^4)*J127</f>
        <v>2.4630957384933557E-3</v>
      </c>
      <c r="Q127" s="33"/>
      <c r="R127" s="28">
        <f>S126</f>
        <v>0.28418601967849855</v>
      </c>
      <c r="S127" s="29">
        <f>SQRT((0.1+R127)^2-P127)-0.1</f>
        <v>0.28096693029436859</v>
      </c>
      <c r="X127" s="15" t="s">
        <v>18</v>
      </c>
      <c r="Y127" s="13">
        <v>2</v>
      </c>
      <c r="Z127" s="13">
        <f t="shared" ref="Z127:Z145" si="39">Y127+Z126</f>
        <v>152</v>
      </c>
      <c r="AA127" s="14">
        <f t="shared" ref="AA127:AA135" si="40">(210-((Z127-100)/10))/1000</f>
        <v>0.20480000000000001</v>
      </c>
      <c r="AB127" s="12">
        <f>Z127*AB122*AA127</f>
        <v>37.355520000000006</v>
      </c>
      <c r="AC127" s="12">
        <f>Z127*0.85*AB123</f>
        <v>452.19999999999993</v>
      </c>
      <c r="AD127" s="12">
        <f t="shared" ref="AD127:AD145" si="41">AB127+AC127</f>
        <v>489.55551999999994</v>
      </c>
      <c r="AE127" s="13">
        <v>118</v>
      </c>
      <c r="AF127" s="11"/>
    </row>
    <row r="128" spans="8:32">
      <c r="H128" s="15" t="s">
        <v>42</v>
      </c>
      <c r="I128" s="33">
        <v>125</v>
      </c>
      <c r="J128" s="33">
        <f t="shared" si="34"/>
        <v>137.5</v>
      </c>
      <c r="K128" s="22">
        <f>AD143</f>
        <v>1847.5889999999999</v>
      </c>
      <c r="L128" s="33">
        <v>160</v>
      </c>
      <c r="M128" s="23">
        <f t="shared" si="35"/>
        <v>130.90909090909091</v>
      </c>
      <c r="N128" s="23">
        <f t="shared" si="36"/>
        <v>349383.81730769231</v>
      </c>
      <c r="O128" s="26">
        <f t="shared" si="37"/>
        <v>1.4009053786989448E-2</v>
      </c>
      <c r="P128" s="33">
        <f t="shared" si="38"/>
        <v>1.5839993609815463E-3</v>
      </c>
      <c r="Q128" s="33"/>
      <c r="R128" s="28">
        <f t="shared" ref="R128:R145" si="42">S127</f>
        <v>0.28096693029436859</v>
      </c>
      <c r="S128" s="29">
        <f t="shared" ref="S128:S145" si="43">SQRT((0.1+R128)^2-P128)-0.1</f>
        <v>0.27888230707824391</v>
      </c>
      <c r="X128" s="15" t="s">
        <v>19</v>
      </c>
      <c r="Y128" s="13">
        <v>13</v>
      </c>
      <c r="Z128" s="13">
        <f t="shared" si="39"/>
        <v>165</v>
      </c>
      <c r="AA128" s="14">
        <f t="shared" si="40"/>
        <v>0.20349999999999999</v>
      </c>
      <c r="AB128" s="12">
        <f>Z128*AB122*AA128</f>
        <v>40.292999999999999</v>
      </c>
      <c r="AC128" s="12">
        <f>Z128*0.85*AB123</f>
        <v>490.875</v>
      </c>
      <c r="AD128" s="12">
        <f t="shared" si="41"/>
        <v>531.16800000000001</v>
      </c>
      <c r="AE128" s="13">
        <v>313</v>
      </c>
      <c r="AF128" s="11"/>
    </row>
    <row r="129" spans="8:32">
      <c r="H129" s="15" t="s">
        <v>43</v>
      </c>
      <c r="I129" s="33">
        <v>125</v>
      </c>
      <c r="J129" s="33">
        <f t="shared" si="34"/>
        <v>137.5</v>
      </c>
      <c r="K129" s="22">
        <f>AD142</f>
        <v>1796.5329999999999</v>
      </c>
      <c r="L129" s="33">
        <v>160</v>
      </c>
      <c r="M129" s="23">
        <f t="shared" si="35"/>
        <v>130.90909090909091</v>
      </c>
      <c r="N129" s="23">
        <f t="shared" si="36"/>
        <v>339728.99679487181</v>
      </c>
      <c r="O129" s="26">
        <f t="shared" si="37"/>
        <v>1.408279693142845E-2</v>
      </c>
      <c r="P129" s="33">
        <f t="shared" si="38"/>
        <v>1.5055485971191003E-3</v>
      </c>
      <c r="Q129" s="33"/>
      <c r="R129" s="28">
        <f t="shared" si="42"/>
        <v>0.27888230707824391</v>
      </c>
      <c r="S129" s="29">
        <f t="shared" si="43"/>
        <v>0.27689024134330353</v>
      </c>
      <c r="X129" s="15" t="s">
        <v>20</v>
      </c>
      <c r="Y129" s="13">
        <v>10</v>
      </c>
      <c r="Z129" s="13">
        <f t="shared" si="39"/>
        <v>175</v>
      </c>
      <c r="AA129" s="14">
        <f t="shared" si="40"/>
        <v>0.20250000000000001</v>
      </c>
      <c r="AB129" s="12">
        <f>Z129*AB122*AA129</f>
        <v>42.525000000000006</v>
      </c>
      <c r="AC129" s="12">
        <f>Z129*0.85*AB123</f>
        <v>520.625</v>
      </c>
      <c r="AD129" s="12">
        <f t="shared" si="41"/>
        <v>563.15</v>
      </c>
      <c r="AE129" s="13">
        <v>86</v>
      </c>
      <c r="AF129" s="11"/>
    </row>
    <row r="130" spans="8:32">
      <c r="H130" s="15" t="s">
        <v>44</v>
      </c>
      <c r="I130" s="33">
        <v>125</v>
      </c>
      <c r="J130" s="33">
        <f t="shared" si="34"/>
        <v>137.5</v>
      </c>
      <c r="K130" s="22">
        <f>AD141</f>
        <v>1748.6679999999999</v>
      </c>
      <c r="L130" s="33">
        <v>160</v>
      </c>
      <c r="M130" s="23">
        <f t="shared" si="35"/>
        <v>130.90909090909091</v>
      </c>
      <c r="N130" s="23">
        <f t="shared" si="36"/>
        <v>330677.60256410256</v>
      </c>
      <c r="O130" s="26">
        <f t="shared" si="37"/>
        <v>1.4154412129247758E-2</v>
      </c>
      <c r="P130" s="33">
        <f t="shared" si="38"/>
        <v>1.4336463240304258E-3</v>
      </c>
      <c r="Q130" s="33"/>
      <c r="R130" s="28">
        <f t="shared" si="42"/>
        <v>0.27689024134330353</v>
      </c>
      <c r="S130" s="29">
        <f t="shared" si="43"/>
        <v>0.27498347656367894</v>
      </c>
      <c r="X130" s="15" t="s">
        <v>21</v>
      </c>
      <c r="Y130" s="13">
        <v>33</v>
      </c>
      <c r="Z130" s="13">
        <f t="shared" si="39"/>
        <v>208</v>
      </c>
      <c r="AA130" s="14">
        <f t="shared" si="40"/>
        <v>0.19919999999999999</v>
      </c>
      <c r="AB130" s="12">
        <f>Z130*AB122*AA130</f>
        <v>49.720319999999994</v>
      </c>
      <c r="AC130" s="12">
        <f>Z130*0.85*AB123</f>
        <v>618.79999999999995</v>
      </c>
      <c r="AD130" s="12">
        <f t="shared" si="41"/>
        <v>668.52031999999997</v>
      </c>
      <c r="AE130" s="13">
        <v>86</v>
      </c>
      <c r="AF130" s="11"/>
    </row>
    <row r="131" spans="8:32">
      <c r="H131" s="16" t="s">
        <v>45</v>
      </c>
      <c r="I131" s="33">
        <v>125</v>
      </c>
      <c r="J131" s="33">
        <f t="shared" si="34"/>
        <v>137.5</v>
      </c>
      <c r="K131" s="22">
        <f>AD140</f>
        <v>1703.9939999999999</v>
      </c>
      <c r="L131" s="33">
        <v>160</v>
      </c>
      <c r="M131" s="23">
        <f t="shared" si="35"/>
        <v>130.90909090909091</v>
      </c>
      <c r="N131" s="23">
        <f t="shared" si="36"/>
        <v>322229.63461538462</v>
      </c>
      <c r="O131" s="26">
        <f t="shared" si="37"/>
        <v>1.422355797431441E-2</v>
      </c>
      <c r="P131" s="33">
        <f t="shared" si="38"/>
        <v>1.367980268276405E-3</v>
      </c>
      <c r="Q131" s="33"/>
      <c r="R131" s="28">
        <f t="shared" si="42"/>
        <v>0.27498347656367894</v>
      </c>
      <c r="S131" s="29">
        <f t="shared" si="43"/>
        <v>0.27315496436133169</v>
      </c>
      <c r="X131" s="16" t="s">
        <v>22</v>
      </c>
      <c r="Y131" s="17">
        <v>39</v>
      </c>
      <c r="Z131" s="13">
        <f t="shared" si="39"/>
        <v>247</v>
      </c>
      <c r="AA131" s="14">
        <f t="shared" si="40"/>
        <v>0.1953</v>
      </c>
      <c r="AB131" s="12">
        <f>Z131*AB122*AA131</f>
        <v>57.886919999999996</v>
      </c>
      <c r="AC131" s="12">
        <f>Z131*0.85*AB123</f>
        <v>734.82499999999993</v>
      </c>
      <c r="AD131" s="12">
        <f t="shared" si="41"/>
        <v>792.71191999999996</v>
      </c>
      <c r="AE131" s="17">
        <v>87</v>
      </c>
    </row>
    <row r="132" spans="8:32">
      <c r="H132" s="16" t="s">
        <v>46</v>
      </c>
      <c r="I132" s="33">
        <v>150</v>
      </c>
      <c r="J132" s="33">
        <f t="shared" si="34"/>
        <v>165</v>
      </c>
      <c r="K132" s="22">
        <f>AD139</f>
        <v>1656.1289999999999</v>
      </c>
      <c r="L132" s="33">
        <v>160</v>
      </c>
      <c r="M132" s="23">
        <f t="shared" si="35"/>
        <v>130.90909090909091</v>
      </c>
      <c r="N132" s="23">
        <f t="shared" si="36"/>
        <v>313178.24038461538</v>
      </c>
      <c r="O132" s="26">
        <f t="shared" si="37"/>
        <v>1.4300271642611368E-2</v>
      </c>
      <c r="P132" s="33">
        <f t="shared" si="38"/>
        <v>1.5590115074604264E-3</v>
      </c>
      <c r="Q132" s="33"/>
      <c r="R132" s="28">
        <f t="shared" si="42"/>
        <v>0.27315496436133169</v>
      </c>
      <c r="S132" s="29">
        <f t="shared" si="43"/>
        <v>0.27106012440040805</v>
      </c>
      <c r="X132" s="16" t="s">
        <v>23</v>
      </c>
      <c r="Y132" s="17">
        <v>36</v>
      </c>
      <c r="Z132" s="13">
        <f t="shared" si="39"/>
        <v>283</v>
      </c>
      <c r="AA132" s="14">
        <f t="shared" si="40"/>
        <v>0.19169999999999998</v>
      </c>
      <c r="AB132" s="12">
        <f>Z132*AB122*AA132</f>
        <v>65.101319999999987</v>
      </c>
      <c r="AC132" s="12">
        <f>Z132*0.85*AB123</f>
        <v>841.92499999999995</v>
      </c>
      <c r="AD132" s="12">
        <f t="shared" si="41"/>
        <v>907.02631999999994</v>
      </c>
      <c r="AE132" s="17">
        <v>83</v>
      </c>
    </row>
    <row r="133" spans="8:32">
      <c r="H133" s="16" t="s">
        <v>47</v>
      </c>
      <c r="I133" s="33">
        <v>190</v>
      </c>
      <c r="J133" s="33">
        <f t="shared" si="34"/>
        <v>209</v>
      </c>
      <c r="K133" s="22">
        <f>AD138</f>
        <v>1605.0729999999999</v>
      </c>
      <c r="L133" s="33">
        <v>160</v>
      </c>
      <c r="M133" s="23">
        <f t="shared" si="35"/>
        <v>130.90909090909091</v>
      </c>
      <c r="N133" s="23">
        <f t="shared" si="36"/>
        <v>303523.41987179487</v>
      </c>
      <c r="O133" s="26">
        <f t="shared" si="37"/>
        <v>1.4385300857100788E-2</v>
      </c>
      <c r="P133" s="33">
        <f t="shared" si="38"/>
        <v>1.8658966250021801E-3</v>
      </c>
      <c r="Q133" s="33"/>
      <c r="R133" s="28">
        <f t="shared" si="42"/>
        <v>0.27106012440040805</v>
      </c>
      <c r="S133" s="29">
        <f t="shared" si="43"/>
        <v>0.268537269886024</v>
      </c>
      <c r="X133" s="16" t="s">
        <v>24</v>
      </c>
      <c r="Y133" s="17">
        <v>35</v>
      </c>
      <c r="Z133" s="13">
        <f t="shared" si="39"/>
        <v>318</v>
      </c>
      <c r="AA133" s="14">
        <f t="shared" si="40"/>
        <v>0.18819999999999998</v>
      </c>
      <c r="AB133" s="12">
        <f>Z133*AB122*AA133</f>
        <v>71.817119999999989</v>
      </c>
      <c r="AC133" s="12">
        <f>Z133*0.85*AB123</f>
        <v>946.05000000000007</v>
      </c>
      <c r="AD133" s="12">
        <f t="shared" si="41"/>
        <v>1017.8671200000001</v>
      </c>
      <c r="AE133" s="17">
        <v>103</v>
      </c>
    </row>
    <row r="134" spans="8:32">
      <c r="H134" s="16" t="s">
        <v>49</v>
      </c>
      <c r="I134" s="33">
        <v>700</v>
      </c>
      <c r="J134" s="33">
        <f t="shared" si="34"/>
        <v>770</v>
      </c>
      <c r="K134" s="22">
        <f>AD137</f>
        <v>1563.59</v>
      </c>
      <c r="L134" s="33">
        <v>160</v>
      </c>
      <c r="M134" s="23">
        <f t="shared" si="35"/>
        <v>130.90909090909091</v>
      </c>
      <c r="N134" s="23">
        <f t="shared" si="36"/>
        <v>295678.87820512813</v>
      </c>
      <c r="O134" s="26">
        <f t="shared" si="37"/>
        <v>1.4456986550047686E-2</v>
      </c>
      <c r="P134" s="33">
        <f t="shared" si="38"/>
        <v>6.5561221408082524E-3</v>
      </c>
      <c r="Q134" s="33"/>
      <c r="R134" s="28">
        <f t="shared" si="42"/>
        <v>0.268537269886024</v>
      </c>
      <c r="S134" s="29">
        <f t="shared" si="43"/>
        <v>0.25953247023632764</v>
      </c>
      <c r="X134" s="16" t="s">
        <v>25</v>
      </c>
      <c r="Y134" s="17">
        <v>16</v>
      </c>
      <c r="Z134" s="13">
        <f t="shared" si="39"/>
        <v>334</v>
      </c>
      <c r="AA134" s="14">
        <f t="shared" si="40"/>
        <v>0.18659999999999999</v>
      </c>
      <c r="AB134" s="12">
        <f>Z134*AB122*AA134</f>
        <v>74.789279999999991</v>
      </c>
      <c r="AC134" s="12">
        <f>Z134*0.85*AB123</f>
        <v>993.64999999999986</v>
      </c>
      <c r="AD134" s="12">
        <f t="shared" si="41"/>
        <v>1068.4392799999998</v>
      </c>
      <c r="AE134" s="17">
        <v>40</v>
      </c>
    </row>
    <row r="135" spans="8:32">
      <c r="H135" s="16" t="s">
        <v>48</v>
      </c>
      <c r="I135" s="33">
        <v>375</v>
      </c>
      <c r="J135" s="33">
        <f t="shared" si="34"/>
        <v>412.5</v>
      </c>
      <c r="K135" s="22">
        <f>AD136</f>
        <v>1244.49</v>
      </c>
      <c r="L135" s="33">
        <v>160</v>
      </c>
      <c r="M135" s="23">
        <f t="shared" si="35"/>
        <v>130.90909090909091</v>
      </c>
      <c r="N135" s="23">
        <f t="shared" si="36"/>
        <v>235336.25</v>
      </c>
      <c r="O135" s="26">
        <f t="shared" si="37"/>
        <v>1.5105237337017244E-2</v>
      </c>
      <c r="P135" s="33">
        <f t="shared" si="38"/>
        <v>2.3247009550206345E-3</v>
      </c>
      <c r="Q135" s="33"/>
      <c r="R135" s="28">
        <f t="shared" si="42"/>
        <v>0.25953247023632764</v>
      </c>
      <c r="S135" s="29">
        <f t="shared" si="43"/>
        <v>0.25628485260983969</v>
      </c>
      <c r="X135" s="16" t="s">
        <v>26</v>
      </c>
      <c r="Y135" s="17">
        <v>27</v>
      </c>
      <c r="Z135" s="13">
        <f t="shared" si="39"/>
        <v>361</v>
      </c>
      <c r="AA135" s="14">
        <f t="shared" si="40"/>
        <v>0.18390000000000001</v>
      </c>
      <c r="AB135" s="12">
        <f>Z135*AB122*AA135</f>
        <v>79.665480000000002</v>
      </c>
      <c r="AC135" s="12">
        <f>Z135*0.85*AB123</f>
        <v>1073.9749999999999</v>
      </c>
      <c r="AD135" s="12">
        <f t="shared" si="41"/>
        <v>1153.64048</v>
      </c>
      <c r="AE135" s="17">
        <v>110</v>
      </c>
    </row>
    <row r="136" spans="8:32">
      <c r="H136" s="16" t="s">
        <v>50</v>
      </c>
      <c r="I136" s="33">
        <v>110</v>
      </c>
      <c r="J136" s="33">
        <f t="shared" si="34"/>
        <v>121</v>
      </c>
      <c r="K136" s="22">
        <f>AD135</f>
        <v>1153.64048</v>
      </c>
      <c r="L136" s="33">
        <v>110</v>
      </c>
      <c r="M136" s="23">
        <f t="shared" si="35"/>
        <v>90</v>
      </c>
      <c r="N136" s="23">
        <f t="shared" si="36"/>
        <v>317318.36046620045</v>
      </c>
      <c r="O136" s="26">
        <f t="shared" si="37"/>
        <v>1.4264834355304772E-2</v>
      </c>
      <c r="P136" s="33">
        <f t="shared" si="38"/>
        <v>3.6029839640391338E-3</v>
      </c>
      <c r="Q136" s="33"/>
      <c r="R136" s="28">
        <f t="shared" si="42"/>
        <v>0.25628485260983969</v>
      </c>
      <c r="S136" s="29">
        <f t="shared" si="43"/>
        <v>0.25119213008718755</v>
      </c>
      <c r="X136" s="16" t="s">
        <v>27</v>
      </c>
      <c r="Y136" s="17">
        <v>29</v>
      </c>
      <c r="Z136" s="13">
        <f t="shared" si="39"/>
        <v>390</v>
      </c>
      <c r="AA136" s="14">
        <v>0.18</v>
      </c>
      <c r="AB136" s="12">
        <f>Z136*AB122*AA136</f>
        <v>84.24</v>
      </c>
      <c r="AC136" s="12">
        <f>Z136*0.85*AB123</f>
        <v>1160.25</v>
      </c>
      <c r="AD136" s="12">
        <f t="shared" si="41"/>
        <v>1244.49</v>
      </c>
      <c r="AE136" s="17">
        <v>375</v>
      </c>
    </row>
    <row r="137" spans="8:32">
      <c r="H137" s="16" t="s">
        <v>51</v>
      </c>
      <c r="I137" s="33">
        <v>40</v>
      </c>
      <c r="J137" s="33">
        <f t="shared" si="34"/>
        <v>44</v>
      </c>
      <c r="K137" s="22">
        <f>AD134</f>
        <v>1068.4392799999998</v>
      </c>
      <c r="L137" s="33">
        <v>110</v>
      </c>
      <c r="M137" s="23">
        <f t="shared" si="35"/>
        <v>90</v>
      </c>
      <c r="N137" s="23">
        <f t="shared" si="36"/>
        <v>293883.06536130531</v>
      </c>
      <c r="O137" s="26">
        <f t="shared" si="37"/>
        <v>1.4473741480313961E-2</v>
      </c>
      <c r="P137" s="33">
        <f t="shared" si="38"/>
        <v>1.1402561743825482E-3</v>
      </c>
      <c r="Q137" s="33"/>
      <c r="R137" s="28">
        <f t="shared" si="42"/>
        <v>0.25119213008718755</v>
      </c>
      <c r="S137" s="29">
        <f t="shared" si="43"/>
        <v>0.24956495256360225</v>
      </c>
      <c r="X137" s="16" t="s">
        <v>28</v>
      </c>
      <c r="Y137" s="17">
        <v>100</v>
      </c>
      <c r="Z137" s="13">
        <f t="shared" si="39"/>
        <v>490</v>
      </c>
      <c r="AA137" s="14">
        <v>0.18</v>
      </c>
      <c r="AB137" s="12">
        <f>Z137*AB122*AA137</f>
        <v>105.83999999999999</v>
      </c>
      <c r="AC137" s="12">
        <f>Z137*0.85*AB123</f>
        <v>1457.75</v>
      </c>
      <c r="AD137" s="12">
        <f t="shared" si="41"/>
        <v>1563.59</v>
      </c>
      <c r="AE137" s="17">
        <v>700</v>
      </c>
    </row>
    <row r="138" spans="8:32">
      <c r="H138" s="16" t="s">
        <v>52</v>
      </c>
      <c r="I138" s="33">
        <v>103</v>
      </c>
      <c r="J138" s="33">
        <f t="shared" si="34"/>
        <v>113.3</v>
      </c>
      <c r="K138" s="22">
        <f>AD133</f>
        <v>1017.8671200000001</v>
      </c>
      <c r="L138" s="33">
        <v>110</v>
      </c>
      <c r="M138" s="23">
        <f t="shared" si="35"/>
        <v>90</v>
      </c>
      <c r="N138" s="23">
        <f t="shared" si="36"/>
        <v>279972.7742657343</v>
      </c>
      <c r="O138" s="26">
        <f t="shared" si="37"/>
        <v>1.4608147061571625E-2</v>
      </c>
      <c r="P138" s="33">
        <f t="shared" si="38"/>
        <v>2.6895304540366489E-3</v>
      </c>
      <c r="Q138" s="33"/>
      <c r="R138" s="28">
        <f t="shared" si="42"/>
        <v>0.24956495256360225</v>
      </c>
      <c r="S138" s="29">
        <f t="shared" si="43"/>
        <v>0.2456965802647704</v>
      </c>
      <c r="X138" s="16" t="s">
        <v>29</v>
      </c>
      <c r="Y138" s="17">
        <v>13</v>
      </c>
      <c r="Z138" s="13">
        <f t="shared" si="39"/>
        <v>503</v>
      </c>
      <c r="AA138" s="14">
        <v>0.18</v>
      </c>
      <c r="AB138" s="12">
        <f>Z138*AB122*AA138</f>
        <v>108.648</v>
      </c>
      <c r="AC138" s="12">
        <f>Z138*0.85*AB123</f>
        <v>1496.425</v>
      </c>
      <c r="AD138" s="12">
        <f t="shared" si="41"/>
        <v>1605.0729999999999</v>
      </c>
      <c r="AE138" s="17">
        <v>190</v>
      </c>
    </row>
    <row r="139" spans="8:32">
      <c r="H139" s="16" t="s">
        <v>53</v>
      </c>
      <c r="I139" s="33">
        <v>83</v>
      </c>
      <c r="J139" s="33">
        <f t="shared" si="34"/>
        <v>91.3</v>
      </c>
      <c r="K139" s="22">
        <f>AD132</f>
        <v>907.02631999999994</v>
      </c>
      <c r="L139" s="33">
        <v>110</v>
      </c>
      <c r="M139" s="23">
        <f t="shared" si="35"/>
        <v>90</v>
      </c>
      <c r="N139" s="23">
        <f t="shared" si="36"/>
        <v>249485.09501165504</v>
      </c>
      <c r="O139" s="26">
        <f t="shared" si="37"/>
        <v>1.493533982457448E-2</v>
      </c>
      <c r="P139" s="33">
        <f t="shared" si="38"/>
        <v>1.7595228777711129E-3</v>
      </c>
      <c r="Q139" s="33"/>
      <c r="R139" s="28">
        <f t="shared" si="42"/>
        <v>0.2456965802647704</v>
      </c>
      <c r="S139" s="29">
        <f t="shared" si="43"/>
        <v>0.24314224853402375</v>
      </c>
      <c r="X139" s="16" t="s">
        <v>30</v>
      </c>
      <c r="Y139" s="17">
        <v>16</v>
      </c>
      <c r="Z139" s="13">
        <f t="shared" si="39"/>
        <v>519</v>
      </c>
      <c r="AA139" s="14">
        <v>0.18</v>
      </c>
      <c r="AB139" s="12">
        <f>Z139*AB122*AA139</f>
        <v>112.10399999999998</v>
      </c>
      <c r="AC139" s="12">
        <f>Z139*0.85*AB123</f>
        <v>1544.0249999999999</v>
      </c>
      <c r="AD139" s="12">
        <f t="shared" si="41"/>
        <v>1656.1289999999999</v>
      </c>
      <c r="AE139" s="17">
        <v>150</v>
      </c>
    </row>
    <row r="140" spans="8:32">
      <c r="H140" s="16" t="s">
        <v>54</v>
      </c>
      <c r="I140" s="33">
        <v>87</v>
      </c>
      <c r="J140" s="33">
        <f t="shared" si="34"/>
        <v>95.7</v>
      </c>
      <c r="K140" s="22">
        <f>AD131</f>
        <v>792.71191999999996</v>
      </c>
      <c r="L140" s="33">
        <v>110</v>
      </c>
      <c r="M140" s="23">
        <f t="shared" si="35"/>
        <v>90</v>
      </c>
      <c r="N140" s="23">
        <f t="shared" si="36"/>
        <v>218041.97333333333</v>
      </c>
      <c r="O140" s="26">
        <f>1/((1.82*LOG(N140)-1.64)^2)</f>
        <v>1.5331759596579862E-2</v>
      </c>
      <c r="P140" s="33">
        <f t="shared" si="38"/>
        <v>1.4461187891909018E-3</v>
      </c>
      <c r="Q140" s="33"/>
      <c r="R140" s="28">
        <f t="shared" si="42"/>
        <v>0.24314224853402375</v>
      </c>
      <c r="S140" s="29">
        <f t="shared" si="43"/>
        <v>0.24102856763003713</v>
      </c>
      <c r="X140" s="16" t="s">
        <v>31</v>
      </c>
      <c r="Y140" s="17">
        <v>15</v>
      </c>
      <c r="Z140" s="13">
        <f t="shared" si="39"/>
        <v>534</v>
      </c>
      <c r="AA140" s="14">
        <v>0.18</v>
      </c>
      <c r="AB140" s="12">
        <f>Z140*AB122*AA140</f>
        <v>115.34399999999999</v>
      </c>
      <c r="AC140" s="12">
        <f>Z140*0.85*AB123</f>
        <v>1588.6499999999999</v>
      </c>
      <c r="AD140" s="12">
        <f t="shared" si="41"/>
        <v>1703.9939999999999</v>
      </c>
      <c r="AE140" s="17">
        <v>125</v>
      </c>
    </row>
    <row r="141" spans="8:32">
      <c r="H141" s="16" t="s">
        <v>55</v>
      </c>
      <c r="I141" s="33">
        <v>86</v>
      </c>
      <c r="J141" s="33">
        <f t="shared" si="34"/>
        <v>94.6</v>
      </c>
      <c r="K141" s="22">
        <f>AD130</f>
        <v>668.52031999999997</v>
      </c>
      <c r="L141" s="33">
        <v>110</v>
      </c>
      <c r="M141" s="23">
        <f t="shared" si="35"/>
        <v>90</v>
      </c>
      <c r="N141" s="23">
        <f t="shared" si="36"/>
        <v>183882.04606060605</v>
      </c>
      <c r="O141" s="26">
        <f t="shared" ref="O141:O145" si="44">1/((1.82*LOG(N141)-1.64)^2)</f>
        <v>1.5856200255806734E-2</v>
      </c>
      <c r="P141" s="33">
        <f t="shared" si="38"/>
        <v>1.051450268072683E-3</v>
      </c>
      <c r="Q141" s="33"/>
      <c r="R141" s="28">
        <f t="shared" si="42"/>
        <v>0.24102856763003713</v>
      </c>
      <c r="S141" s="29">
        <f t="shared" si="43"/>
        <v>0.23948348070520623</v>
      </c>
      <c r="X141" s="16" t="s">
        <v>32</v>
      </c>
      <c r="Y141" s="17">
        <v>14</v>
      </c>
      <c r="Z141" s="13">
        <f t="shared" si="39"/>
        <v>548</v>
      </c>
      <c r="AA141" s="14">
        <v>0.18</v>
      </c>
      <c r="AB141" s="12">
        <f>Z141*AB122*AA141</f>
        <v>118.36799999999999</v>
      </c>
      <c r="AC141" s="12">
        <f>Z141*0.85*AB123</f>
        <v>1630.3</v>
      </c>
      <c r="AD141" s="12">
        <f t="shared" si="41"/>
        <v>1748.6679999999999</v>
      </c>
      <c r="AE141" s="17">
        <v>125</v>
      </c>
    </row>
    <row r="142" spans="8:32">
      <c r="H142" s="16" t="s">
        <v>56</v>
      </c>
      <c r="I142" s="33">
        <v>86</v>
      </c>
      <c r="J142" s="33">
        <f t="shared" si="34"/>
        <v>94.6</v>
      </c>
      <c r="K142" s="22">
        <f>AD129</f>
        <v>563.15</v>
      </c>
      <c r="L142" s="33">
        <v>110</v>
      </c>
      <c r="M142" s="23">
        <f t="shared" si="35"/>
        <v>90</v>
      </c>
      <c r="N142" s="23">
        <f t="shared" si="36"/>
        <v>154899.06759906761</v>
      </c>
      <c r="O142" s="26">
        <f t="shared" si="44"/>
        <v>1.6411764526058106E-2</v>
      </c>
      <c r="P142" s="33">
        <f t="shared" si="38"/>
        <v>7.7226053796699949E-4</v>
      </c>
      <c r="Q142" s="33"/>
      <c r="R142" s="28">
        <f t="shared" si="42"/>
        <v>0.23948348070520623</v>
      </c>
      <c r="S142" s="29">
        <f t="shared" si="43"/>
        <v>0.23834416373532311</v>
      </c>
      <c r="X142" s="16" t="s">
        <v>33</v>
      </c>
      <c r="Y142" s="17">
        <v>15</v>
      </c>
      <c r="Z142" s="13">
        <f t="shared" si="39"/>
        <v>563</v>
      </c>
      <c r="AA142" s="14">
        <v>0.18</v>
      </c>
      <c r="AB142" s="12">
        <f>Z142*AB122*AA142</f>
        <v>121.608</v>
      </c>
      <c r="AC142" s="12">
        <f>Z142*0.85*AB123</f>
        <v>1674.925</v>
      </c>
      <c r="AD142" s="12">
        <f t="shared" si="41"/>
        <v>1796.5329999999999</v>
      </c>
      <c r="AE142" s="17">
        <v>125</v>
      </c>
    </row>
    <row r="143" spans="8:32">
      <c r="H143" s="16" t="s">
        <v>57</v>
      </c>
      <c r="I143" s="33">
        <v>313</v>
      </c>
      <c r="J143" s="33">
        <f t="shared" si="34"/>
        <v>344.3</v>
      </c>
      <c r="K143" s="22">
        <f>AD128</f>
        <v>531.16800000000001</v>
      </c>
      <c r="L143" s="33">
        <v>110</v>
      </c>
      <c r="M143" s="23">
        <f t="shared" si="35"/>
        <v>90</v>
      </c>
      <c r="N143" s="23">
        <f t="shared" si="36"/>
        <v>146102.15384615384</v>
      </c>
      <c r="O143" s="26">
        <f t="shared" si="44"/>
        <v>1.6607831538213817E-2</v>
      </c>
      <c r="P143" s="33">
        <f t="shared" si="38"/>
        <v>2.5303640743703604E-3</v>
      </c>
      <c r="Q143" s="33"/>
      <c r="R143" s="28">
        <f t="shared" si="42"/>
        <v>0.23834416373532311</v>
      </c>
      <c r="S143" s="29">
        <f t="shared" si="43"/>
        <v>0.23458393425175808</v>
      </c>
      <c r="X143" s="16" t="s">
        <v>34</v>
      </c>
      <c r="Y143" s="17">
        <v>16</v>
      </c>
      <c r="Z143" s="13">
        <f t="shared" si="39"/>
        <v>579</v>
      </c>
      <c r="AA143" s="14">
        <v>0.18</v>
      </c>
      <c r="AB143" s="12">
        <f>Z143*AB122*AA143</f>
        <v>125.06399999999999</v>
      </c>
      <c r="AC143" s="12">
        <f>Z143*0.85*AB123</f>
        <v>1722.5249999999999</v>
      </c>
      <c r="AD143" s="12">
        <f t="shared" si="41"/>
        <v>1847.5889999999999</v>
      </c>
      <c r="AE143" s="17">
        <v>125</v>
      </c>
    </row>
    <row r="144" spans="8:32">
      <c r="H144" s="16" t="s">
        <v>58</v>
      </c>
      <c r="I144" s="33">
        <v>118</v>
      </c>
      <c r="J144" s="33">
        <f t="shared" si="34"/>
        <v>129.80000000000001</v>
      </c>
      <c r="K144" s="22">
        <f>AD127</f>
        <v>489.55551999999994</v>
      </c>
      <c r="L144" s="33">
        <v>110</v>
      </c>
      <c r="M144" s="23">
        <f t="shared" si="35"/>
        <v>90</v>
      </c>
      <c r="N144" s="23">
        <f t="shared" si="36"/>
        <v>134656.29687645685</v>
      </c>
      <c r="O144" s="26">
        <f t="shared" si="44"/>
        <v>1.6887331133470771E-2</v>
      </c>
      <c r="P144" s="33">
        <f t="shared" si="38"/>
        <v>8.239651970709884E-4</v>
      </c>
      <c r="Q144" s="33"/>
      <c r="R144" s="28">
        <f t="shared" si="42"/>
        <v>0.23458393425175808</v>
      </c>
      <c r="S144" s="29">
        <f t="shared" si="43"/>
        <v>0.23335033202670394</v>
      </c>
      <c r="X144" s="16" t="s">
        <v>35</v>
      </c>
      <c r="Y144" s="17">
        <v>16</v>
      </c>
      <c r="Z144" s="13">
        <f t="shared" si="39"/>
        <v>595</v>
      </c>
      <c r="AA144" s="14">
        <v>0.18</v>
      </c>
      <c r="AB144" s="12">
        <f>Z144*AB122*AA144</f>
        <v>128.51999999999998</v>
      </c>
      <c r="AC144" s="12">
        <f>Z144*0.85*AB123</f>
        <v>1770.125</v>
      </c>
      <c r="AD144" s="12">
        <f t="shared" si="41"/>
        <v>1898.645</v>
      </c>
      <c r="AE144" s="17">
        <v>185</v>
      </c>
    </row>
    <row r="145" spans="8:32">
      <c r="H145" s="16" t="s">
        <v>59</v>
      </c>
      <c r="I145" s="33">
        <v>96</v>
      </c>
      <c r="J145" s="33">
        <f t="shared" si="34"/>
        <v>105.6</v>
      </c>
      <c r="K145" s="22">
        <f>AD126</f>
        <v>483.15</v>
      </c>
      <c r="L145" s="33">
        <v>110</v>
      </c>
      <c r="M145" s="23">
        <f t="shared" si="35"/>
        <v>90</v>
      </c>
      <c r="N145" s="23">
        <f t="shared" si="36"/>
        <v>132894.4055944056</v>
      </c>
      <c r="O145" s="26">
        <f t="shared" si="44"/>
        <v>1.6933115635945181E-2</v>
      </c>
      <c r="P145" s="33">
        <f t="shared" si="38"/>
        <v>6.546874456285506E-4</v>
      </c>
      <c r="Q145" s="33"/>
      <c r="R145" s="28">
        <f t="shared" si="42"/>
        <v>0.23335033202670394</v>
      </c>
      <c r="S145" s="29">
        <f t="shared" si="43"/>
        <v>0.23236690030248983</v>
      </c>
      <c r="X145" s="16" t="s">
        <v>36</v>
      </c>
      <c r="Y145" s="17">
        <v>6</v>
      </c>
      <c r="Z145" s="13">
        <f t="shared" si="39"/>
        <v>601</v>
      </c>
      <c r="AA145" s="14">
        <v>0.18</v>
      </c>
      <c r="AB145" s="12">
        <f>Z145*AB122*AA145</f>
        <v>129.81599999999997</v>
      </c>
      <c r="AC145" s="12">
        <f>Z145*0.85*AB123</f>
        <v>1787.9749999999999</v>
      </c>
      <c r="AD145" s="12">
        <f t="shared" si="41"/>
        <v>1917.7909999999999</v>
      </c>
      <c r="AE145" s="17">
        <v>250</v>
      </c>
    </row>
    <row r="146" spans="8:32">
      <c r="H146" s="4"/>
      <c r="I146" s="33"/>
      <c r="J146" s="33"/>
      <c r="K146" s="33"/>
      <c r="L146" s="33"/>
      <c r="M146" s="23"/>
      <c r="N146" s="23"/>
      <c r="O146" s="23"/>
      <c r="P146" s="33"/>
      <c r="Q146" s="33"/>
      <c r="R146" s="33"/>
      <c r="S146" s="3"/>
      <c r="X146" s="8"/>
      <c r="Y146" s="18"/>
      <c r="Z146" s="18"/>
      <c r="AA146" s="18"/>
      <c r="AB146" s="18"/>
      <c r="AC146" s="19"/>
      <c r="AD146" s="20"/>
      <c r="AE146" s="18">
        <f>SUM(AE126:AE145)</f>
        <v>3472</v>
      </c>
      <c r="AF146" s="1" t="s">
        <v>37</v>
      </c>
    </row>
    <row r="147" spans="8:32">
      <c r="H147" s="4"/>
      <c r="I147" s="33"/>
      <c r="J147" s="33"/>
      <c r="K147" s="33"/>
      <c r="L147" s="33"/>
      <c r="M147" s="23"/>
      <c r="N147" s="23"/>
      <c r="O147" s="23"/>
      <c r="P147" s="33"/>
      <c r="Q147" s="33"/>
      <c r="R147" s="33"/>
      <c r="S147" s="3"/>
      <c r="X147" s="8"/>
      <c r="Y147" s="18"/>
      <c r="Z147" s="18"/>
      <c r="AA147" s="18" t="s">
        <v>38</v>
      </c>
      <c r="AB147" s="21">
        <f>AB145+AC145</f>
        <v>1917.7909999999999</v>
      </c>
      <c r="AC147" s="18" t="s">
        <v>39</v>
      </c>
      <c r="AD147" s="18"/>
      <c r="AE147" s="18"/>
    </row>
    <row r="148" spans="8:32">
      <c r="H148" s="4"/>
      <c r="I148" s="33"/>
      <c r="J148" s="33"/>
      <c r="K148" s="33"/>
      <c r="L148" s="33"/>
      <c r="M148" s="23"/>
      <c r="N148" s="23"/>
      <c r="O148" s="23"/>
      <c r="P148" s="33"/>
      <c r="Q148" s="33"/>
      <c r="R148" s="33"/>
      <c r="S148" s="3"/>
    </row>
    <row r="149" spans="8:32" ht="37.5">
      <c r="H149" s="12" t="s">
        <v>75</v>
      </c>
      <c r="I149" s="33">
        <v>250</v>
      </c>
      <c r="J149" s="33">
        <f t="shared" ref="J149" si="45">I149+(I149*0.1)</f>
        <v>275</v>
      </c>
      <c r="K149" s="22">
        <v>1900</v>
      </c>
      <c r="L149" s="33" t="s">
        <v>73</v>
      </c>
      <c r="M149" s="23">
        <v>100</v>
      </c>
      <c r="N149" s="23">
        <f>0.0354*K149*10^6*10/(M149*14.3)</f>
        <v>470349.65034965036</v>
      </c>
      <c r="O149" s="26">
        <f>1/((1.82*LOG(N149)-1.64)^2)</f>
        <v>1.3261107163838165E-2</v>
      </c>
      <c r="P149" s="33">
        <f>1.2687*0.73*O149*K149*K149/(((M149/10)^5)*10^4)*J149</f>
        <v>1.2192744700354382E-2</v>
      </c>
      <c r="Q149" s="33"/>
      <c r="R149" s="28">
        <v>0.34</v>
      </c>
      <c r="S149" s="29">
        <f>SQRT((0.1+R149)^2-P149)-0.1</f>
        <v>0.32591930608936437</v>
      </c>
    </row>
    <row r="150" spans="8:32" ht="19.5" thickBot="1">
      <c r="H150" s="5"/>
      <c r="I150" s="6"/>
      <c r="J150" s="6"/>
      <c r="K150" s="6"/>
      <c r="L150" s="6"/>
      <c r="M150" s="25"/>
      <c r="N150" s="25"/>
      <c r="O150" s="25"/>
      <c r="P150" s="6"/>
      <c r="Q150" s="6"/>
      <c r="R150" s="6"/>
      <c r="S150" s="7"/>
    </row>
    <row r="151" spans="8:32" ht="19.5" thickTop="1"/>
  </sheetData>
  <mergeCells count="47">
    <mergeCell ref="I121:R122"/>
    <mergeCell ref="H124:H125"/>
    <mergeCell ref="I124:J124"/>
    <mergeCell ref="K124:K125"/>
    <mergeCell ref="L124:L125"/>
    <mergeCell ref="M124:M125"/>
    <mergeCell ref="N124:N125"/>
    <mergeCell ref="O124:O125"/>
    <mergeCell ref="P124:P125"/>
    <mergeCell ref="Q124:Q125"/>
    <mergeCell ref="R124:S124"/>
    <mergeCell ref="Q82:Z86"/>
    <mergeCell ref="H91:H92"/>
    <mergeCell ref="I91:J91"/>
    <mergeCell ref="K91:K92"/>
    <mergeCell ref="L91:L92"/>
    <mergeCell ref="M91:M92"/>
    <mergeCell ref="N91:N92"/>
    <mergeCell ref="O91:O92"/>
    <mergeCell ref="P91:P92"/>
    <mergeCell ref="Q91:Q92"/>
    <mergeCell ref="R91:S91"/>
    <mergeCell ref="I88:R89"/>
    <mergeCell ref="Q5:AA9"/>
    <mergeCell ref="Q44:Z48"/>
    <mergeCell ref="N53:N54"/>
    <mergeCell ref="O53:O54"/>
    <mergeCell ref="P53:P54"/>
    <mergeCell ref="Q53:Q54"/>
    <mergeCell ref="R53:S53"/>
    <mergeCell ref="Q15:Q16"/>
    <mergeCell ref="R15:S15"/>
    <mergeCell ref="I50:R51"/>
    <mergeCell ref="I12:R13"/>
    <mergeCell ref="H53:H54"/>
    <mergeCell ref="I53:J53"/>
    <mergeCell ref="K53:K54"/>
    <mergeCell ref="L53:L54"/>
    <mergeCell ref="M53:M54"/>
    <mergeCell ref="H15:H16"/>
    <mergeCell ref="I15:J15"/>
    <mergeCell ref="K15:K16"/>
    <mergeCell ref="L15:L16"/>
    <mergeCell ref="P15:P16"/>
    <mergeCell ref="M15:M16"/>
    <mergeCell ref="N15:N16"/>
    <mergeCell ref="O15:O16"/>
  </mergeCells>
  <pageMargins left="0.7" right="0.7" top="0.75" bottom="0.75" header="0.3" footer="0.3"/>
  <pageSetup paperSize="9" scale="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8:Y32"/>
  <sheetViews>
    <sheetView topLeftCell="A13" zoomScale="85" zoomScaleNormal="85" workbookViewId="0">
      <selection activeCell="E35" sqref="E35"/>
    </sheetView>
  </sheetViews>
  <sheetFormatPr defaultRowHeight="15"/>
  <cols>
    <col min="16" max="17" width="9.140625" style="48"/>
  </cols>
  <sheetData>
    <row r="28" spans="3:25" ht="15.75">
      <c r="E28" s="82" t="s">
        <v>76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3:25" ht="60" customHeight="1">
      <c r="E29" s="35" t="s">
        <v>77</v>
      </c>
      <c r="F29" s="36" t="s">
        <v>81</v>
      </c>
      <c r="G29" s="36" t="s">
        <v>82</v>
      </c>
      <c r="H29" s="36" t="s">
        <v>80</v>
      </c>
      <c r="I29" s="36" t="s">
        <v>83</v>
      </c>
      <c r="J29" s="36" t="s">
        <v>84</v>
      </c>
      <c r="K29" s="37" t="s">
        <v>85</v>
      </c>
      <c r="L29" s="36" t="s">
        <v>86</v>
      </c>
      <c r="M29" s="36" t="s">
        <v>64</v>
      </c>
      <c r="N29" s="36" t="s">
        <v>78</v>
      </c>
      <c r="O29" s="36" t="s">
        <v>79</v>
      </c>
      <c r="P29" s="46" t="s">
        <v>87</v>
      </c>
      <c r="Q29" s="46" t="s">
        <v>88</v>
      </c>
      <c r="W29" s="83"/>
      <c r="X29" s="83"/>
      <c r="Y29" s="83"/>
    </row>
    <row r="30" spans="3:25" ht="15.75">
      <c r="C30" t="s">
        <v>90</v>
      </c>
      <c r="D30" t="s">
        <v>89</v>
      </c>
      <c r="E30" s="34" t="s">
        <v>17</v>
      </c>
      <c r="F30" s="38">
        <v>31</v>
      </c>
      <c r="G30" s="39">
        <f>0.1*F30</f>
        <v>3.1</v>
      </c>
      <c r="H30" s="40">
        <f>F30+G30</f>
        <v>34.1</v>
      </c>
      <c r="I30" s="41">
        <v>5.86</v>
      </c>
      <c r="J30" s="41" t="s">
        <v>73</v>
      </c>
      <c r="K30" s="42">
        <v>10</v>
      </c>
      <c r="L30" s="43">
        <v>1.43E-5</v>
      </c>
      <c r="M30" s="44">
        <f>0.0354*(I30/(K30*L30))</f>
        <v>1450.6573426573427</v>
      </c>
      <c r="N30" s="44">
        <f>M30*(0.01/K30)</f>
        <v>1.4506573426573428</v>
      </c>
      <c r="O30" s="45">
        <f>0.11*((0.01/K30)+(68/M30))^0.25</f>
        <v>5.1454168592957476E-2</v>
      </c>
      <c r="P30" s="49">
        <v>0.34</v>
      </c>
      <c r="Q30" s="47">
        <f>SQRT((0.1+P30)^2-(1.2687*0.73*O30*I30*I30/(((K30)^5)*10^4)*H30))-0.1</f>
        <v>0.33999993658830896</v>
      </c>
    </row>
    <row r="31" spans="3:25" ht="15.75">
      <c r="C31" t="s">
        <v>90</v>
      </c>
      <c r="D31" t="s">
        <v>91</v>
      </c>
      <c r="E31" s="34" t="s">
        <v>92</v>
      </c>
      <c r="F31" s="38">
        <v>31</v>
      </c>
      <c r="G31" s="39">
        <f>0.1*F31</f>
        <v>3.1</v>
      </c>
      <c r="H31" s="40">
        <f>F31+G31</f>
        <v>34.1</v>
      </c>
      <c r="I31" s="41">
        <v>5.86</v>
      </c>
      <c r="J31" s="41" t="s">
        <v>93</v>
      </c>
      <c r="K31" s="42">
        <v>5</v>
      </c>
      <c r="L31" s="43">
        <v>1.43E-5</v>
      </c>
      <c r="M31" s="44">
        <f>0.0354*(I31/(K31*L31))</f>
        <v>2901.3146853146854</v>
      </c>
      <c r="N31" s="44">
        <f>M31*(0.0007/K31)</f>
        <v>0.40618405594405593</v>
      </c>
      <c r="O31" s="45">
        <f>0.0025*M31^0.333</f>
        <v>3.5561828986060598E-2</v>
      </c>
      <c r="P31" s="49">
        <v>0.45</v>
      </c>
      <c r="Q31" s="47">
        <f>SQRT((0.1+P31)^2-(1.2687*0.73*O31*I31*I31/(((K31)^5)*10^4)*H31))-0.1</f>
        <v>0.44999887805068883</v>
      </c>
    </row>
    <row r="32" spans="3:25" ht="15.75">
      <c r="E32" s="34" t="s">
        <v>92</v>
      </c>
      <c r="F32" s="38">
        <v>31</v>
      </c>
      <c r="G32" s="39">
        <f>0.1*F32</f>
        <v>3.1</v>
      </c>
      <c r="H32" s="40">
        <f>F32+G32</f>
        <v>34.1</v>
      </c>
      <c r="I32" s="41">
        <v>5.86</v>
      </c>
      <c r="J32" s="41" t="s">
        <v>94</v>
      </c>
      <c r="K32" s="42">
        <v>2.6</v>
      </c>
      <c r="L32" s="43">
        <v>1.43E-5</v>
      </c>
      <c r="M32" s="44">
        <f>0.0354*(I32/(K32*L32))</f>
        <v>5579.4513179128562</v>
      </c>
      <c r="N32" s="44">
        <f>M32*(0.0007/K32)</f>
        <v>1.5021599702073074</v>
      </c>
      <c r="O32" s="45">
        <f>0.3164/(M32^0.25)</f>
        <v>3.6609062014648384E-2</v>
      </c>
      <c r="P32" s="49">
        <v>0.45</v>
      </c>
      <c r="Q32" s="47">
        <f>SQRT((0.1+P32)^2-(1.2687*0.73*O32*I32*I32/(((K32)^5)*10^4)*H32))-0.1</f>
        <v>0.44996962106239824</v>
      </c>
    </row>
  </sheetData>
  <mergeCells count="2">
    <mergeCell ref="E28:Q28"/>
    <mergeCell ref="W29:Y29"/>
  </mergeCells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4:AK38"/>
  <sheetViews>
    <sheetView topLeftCell="A24" workbookViewId="0">
      <selection activeCell="F29" sqref="F29"/>
    </sheetView>
  </sheetViews>
  <sheetFormatPr defaultRowHeight="15"/>
  <sheetData>
    <row r="14" spans="5:19" ht="15.75">
      <c r="G14" s="82" t="s">
        <v>111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5:19" ht="34.5">
      <c r="G15" s="35" t="s">
        <v>77</v>
      </c>
      <c r="H15" s="36" t="s">
        <v>81</v>
      </c>
      <c r="I15" s="36" t="s">
        <v>82</v>
      </c>
      <c r="J15" s="36" t="s">
        <v>80</v>
      </c>
      <c r="K15" s="36" t="s">
        <v>83</v>
      </c>
      <c r="L15" s="36" t="s">
        <v>84</v>
      </c>
      <c r="M15" s="37" t="s">
        <v>85</v>
      </c>
      <c r="N15" s="36" t="s">
        <v>86</v>
      </c>
      <c r="O15" s="36" t="s">
        <v>64</v>
      </c>
      <c r="P15" s="36" t="s">
        <v>78</v>
      </c>
      <c r="Q15" s="36" t="s">
        <v>79</v>
      </c>
      <c r="R15" s="46" t="s">
        <v>87</v>
      </c>
      <c r="S15" s="46" t="s">
        <v>88</v>
      </c>
    </row>
    <row r="16" spans="5:19" ht="15.75">
      <c r="E16" t="s">
        <v>90</v>
      </c>
      <c r="F16" t="s">
        <v>109</v>
      </c>
      <c r="G16" s="34" t="s">
        <v>92</v>
      </c>
      <c r="H16" s="38">
        <v>31</v>
      </c>
      <c r="I16" s="39">
        <f>0.1*H16</f>
        <v>3.1</v>
      </c>
      <c r="J16" s="40">
        <f>H16+I16</f>
        <v>34.1</v>
      </c>
      <c r="K16" s="41">
        <v>5.86</v>
      </c>
      <c r="L16" s="41" t="s">
        <v>94</v>
      </c>
      <c r="M16" s="42">
        <v>2.6</v>
      </c>
      <c r="N16" s="43">
        <v>1.43E-5</v>
      </c>
      <c r="O16" s="44">
        <f>0.0354*(K16/(M16*N16))</f>
        <v>5579.4513179128562</v>
      </c>
      <c r="P16" s="44">
        <f>O16*(0.0007/M16)</f>
        <v>1.5021599702073074</v>
      </c>
      <c r="Q16" s="45">
        <f>0.0025*O16^0.333</f>
        <v>4.4213508155599907E-2</v>
      </c>
      <c r="R16" s="49">
        <v>0.41499999999999998</v>
      </c>
      <c r="S16" s="47">
        <f>SQRT((0.1+R16)^2-(1.2687*0.73*Q16*K16*K16/(((M16)^5)*10^4)*J16))-0.1</f>
        <v>0.41496081688634912</v>
      </c>
    </row>
    <row r="17" spans="5:37" ht="24.75" customHeight="1">
      <c r="E17" t="s">
        <v>90</v>
      </c>
      <c r="F17" t="s">
        <v>110</v>
      </c>
      <c r="G17" s="34" t="s">
        <v>92</v>
      </c>
      <c r="H17" s="38">
        <v>31</v>
      </c>
      <c r="I17" s="39">
        <f>0.1*H17</f>
        <v>3.1</v>
      </c>
      <c r="J17" s="40">
        <f>H17+I17</f>
        <v>34.1</v>
      </c>
      <c r="K17" s="41">
        <v>5.86</v>
      </c>
      <c r="L17" s="41" t="s">
        <v>93</v>
      </c>
      <c r="M17" s="42">
        <v>5</v>
      </c>
      <c r="N17" s="43">
        <v>1.43E-5</v>
      </c>
      <c r="O17" s="44">
        <f>0.0354*(K17/(M17*N17))</f>
        <v>2901.3146853146854</v>
      </c>
      <c r="P17" s="44">
        <f>O17*(0.0007/M17)</f>
        <v>0.40618405594405593</v>
      </c>
      <c r="Q17" s="45">
        <f>0.0025*O17^0.333</f>
        <v>3.5561828986060598E-2</v>
      </c>
      <c r="R17" s="49">
        <v>0.41499999999999998</v>
      </c>
      <c r="S17" s="47">
        <f>SQRT((0.1+R17)^2-(1.2687*0.73*Q17*K17*K17/(((M17)^5)*10^4)*J17))-0.1</f>
        <v>0.4149988018015347</v>
      </c>
    </row>
    <row r="18" spans="5:37" ht="29.25" customHeight="1"/>
    <row r="19" spans="5:37" ht="39.75" customHeight="1">
      <c r="G19" s="82" t="s">
        <v>114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5:37" ht="34.5">
      <c r="G20" s="61" t="s">
        <v>77</v>
      </c>
      <c r="H20" s="62" t="s">
        <v>100</v>
      </c>
      <c r="I20" s="62" t="s">
        <v>101</v>
      </c>
      <c r="J20" s="62" t="s">
        <v>80</v>
      </c>
      <c r="K20" s="62" t="s">
        <v>102</v>
      </c>
      <c r="L20" s="62" t="s">
        <v>103</v>
      </c>
      <c r="M20" s="63" t="s">
        <v>104</v>
      </c>
      <c r="N20" s="62" t="s">
        <v>105</v>
      </c>
      <c r="O20" s="62" t="s">
        <v>64</v>
      </c>
      <c r="P20" s="62" t="s">
        <v>78</v>
      </c>
      <c r="Q20" s="62" t="s">
        <v>79</v>
      </c>
      <c r="R20" s="62" t="s">
        <v>106</v>
      </c>
      <c r="S20" s="62" t="s">
        <v>107</v>
      </c>
      <c r="T20" s="62" t="s">
        <v>108</v>
      </c>
    </row>
    <row r="21" spans="5:37" ht="15.75">
      <c r="F21" t="s">
        <v>91</v>
      </c>
      <c r="G21" s="34" t="s">
        <v>17</v>
      </c>
      <c r="H21" s="64">
        <v>15</v>
      </c>
      <c r="I21" s="65">
        <f>0.1*H21</f>
        <v>1.5</v>
      </c>
      <c r="J21" s="66">
        <f>H21+I21</f>
        <v>16.5</v>
      </c>
      <c r="K21" s="67">
        <v>50</v>
      </c>
      <c r="L21" s="67" t="s">
        <v>113</v>
      </c>
      <c r="M21" s="68">
        <v>5.14</v>
      </c>
      <c r="N21" s="69">
        <v>1.43E-5</v>
      </c>
      <c r="O21" s="70">
        <f>0.0354*(K21/(M21*N21))</f>
        <v>24080.977388370386</v>
      </c>
      <c r="P21" s="70">
        <f>O21*(0.0007/M21)</f>
        <v>3.2795105392722319</v>
      </c>
      <c r="Q21" s="71">
        <f>0.3164/(O21^0.333)</f>
        <v>1.0993576332516795E-2</v>
      </c>
      <c r="R21" s="64">
        <f>626.1*Q21*((K21^2)/(M21^5))*0.73*J21</f>
        <v>57.771536472167888</v>
      </c>
      <c r="S21" s="72">
        <v>3000</v>
      </c>
      <c r="T21" s="64">
        <f>S21-R21</f>
        <v>2942.228463527832</v>
      </c>
    </row>
    <row r="22" spans="5:37" ht="15.75">
      <c r="F22" t="s">
        <v>99</v>
      </c>
      <c r="G22" s="34" t="s">
        <v>18</v>
      </c>
      <c r="H22" s="64">
        <v>50</v>
      </c>
      <c r="I22" s="65">
        <f>0.1*H22</f>
        <v>5</v>
      </c>
      <c r="J22" s="66">
        <f>H22+I22</f>
        <v>55</v>
      </c>
      <c r="K22" s="67">
        <v>25</v>
      </c>
      <c r="L22" s="67" t="s">
        <v>112</v>
      </c>
      <c r="M22" s="68">
        <v>5</v>
      </c>
      <c r="N22" s="69">
        <v>1.43E-5</v>
      </c>
      <c r="O22" s="70">
        <f>0.0354*(K22/(M22*N22))</f>
        <v>12377.622377622378</v>
      </c>
      <c r="P22" s="70">
        <f>O22*(0.01/M22)</f>
        <v>24.755244755244757</v>
      </c>
      <c r="Q22" s="71">
        <f>0.11*(((0.01/M22)+(68/O22))^0.25)</f>
        <v>3.2364432549468691E-2</v>
      </c>
      <c r="R22" s="64">
        <f>626.1*Q22*((K22^2)/(M22^5))*0.73*J22</f>
        <v>162.71487089035548</v>
      </c>
      <c r="S22" s="64">
        <f>T21</f>
        <v>2942.228463527832</v>
      </c>
      <c r="T22" s="64">
        <f>S22-R22</f>
        <v>2779.5135926374764</v>
      </c>
    </row>
    <row r="23" spans="5:37" ht="15.75">
      <c r="F23" t="s">
        <v>99</v>
      </c>
      <c r="G23" s="34" t="s">
        <v>19</v>
      </c>
      <c r="H23" s="64">
        <v>50</v>
      </c>
      <c r="I23" s="65">
        <f>0.1*H23</f>
        <v>5</v>
      </c>
      <c r="J23" s="66">
        <f>H23+I23</f>
        <v>55</v>
      </c>
      <c r="K23" s="67">
        <v>15</v>
      </c>
      <c r="L23" s="67" t="s">
        <v>112</v>
      </c>
      <c r="M23" s="68">
        <v>5</v>
      </c>
      <c r="N23" s="69">
        <v>1.43E-5</v>
      </c>
      <c r="O23" s="70">
        <f>0.0354*(K23/(M23*N23))</f>
        <v>7426.5734265734263</v>
      </c>
      <c r="P23" s="70">
        <f>O23*(0.01/M23)</f>
        <v>14.853146853146853</v>
      </c>
      <c r="Q23" s="71">
        <f>0.3164/(O23^0.333)</f>
        <v>1.626536866249852E-2</v>
      </c>
      <c r="R23" s="64">
        <f>626.1*Q23*((K23^2)/(M23^5))*0.73*J23</f>
        <v>29.439176751471706</v>
      </c>
      <c r="S23" s="64">
        <f>T22</f>
        <v>2779.5135926374764</v>
      </c>
      <c r="T23" s="64">
        <f>S23-R23</f>
        <v>2750.0744158860048</v>
      </c>
    </row>
    <row r="24" spans="5:37"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5:37"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8" spans="5:37" ht="36.75" customHeight="1">
      <c r="G28" s="84" t="s">
        <v>115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5:37" ht="34.5">
      <c r="F29" t="s">
        <v>117</v>
      </c>
      <c r="G29" s="61" t="s">
        <v>77</v>
      </c>
      <c r="H29" s="62" t="s">
        <v>100</v>
      </c>
      <c r="I29" s="62" t="s">
        <v>101</v>
      </c>
      <c r="J29" s="62" t="s">
        <v>80</v>
      </c>
      <c r="K29" s="62" t="s">
        <v>102</v>
      </c>
      <c r="L29" s="62" t="s">
        <v>103</v>
      </c>
      <c r="M29" s="63" t="s">
        <v>104</v>
      </c>
      <c r="N29" s="62" t="s">
        <v>105</v>
      </c>
      <c r="O29" s="62" t="s">
        <v>64</v>
      </c>
      <c r="P29" s="62" t="s">
        <v>78</v>
      </c>
      <c r="Q29" s="62" t="s">
        <v>79</v>
      </c>
      <c r="R29" s="62" t="s">
        <v>106</v>
      </c>
      <c r="S29" s="62" t="s">
        <v>107</v>
      </c>
      <c r="T29" s="62" t="s">
        <v>108</v>
      </c>
    </row>
    <row r="30" spans="5:37" ht="15.75">
      <c r="F30" t="s">
        <v>91</v>
      </c>
      <c r="G30" s="34" t="s">
        <v>17</v>
      </c>
      <c r="H30" s="64">
        <v>15</v>
      </c>
      <c r="I30" s="65">
        <f>0.1*H30</f>
        <v>1.5</v>
      </c>
      <c r="J30" s="66">
        <f>H30+I30</f>
        <v>16.5</v>
      </c>
      <c r="K30" s="67">
        <v>50</v>
      </c>
      <c r="L30" s="67" t="s">
        <v>113</v>
      </c>
      <c r="M30" s="68">
        <v>5.14</v>
      </c>
      <c r="N30" s="69">
        <v>1.43E-5</v>
      </c>
      <c r="O30" s="70">
        <f>0.0354*(K30/(M30*N30))</f>
        <v>24080.977388370386</v>
      </c>
      <c r="P30" s="70">
        <f>O30*(0.0007/M30)</f>
        <v>3.2795105392722319</v>
      </c>
      <c r="Q30" s="71">
        <f>0.3164/(O30^0.333)</f>
        <v>1.0993576332516795E-2</v>
      </c>
      <c r="R30" s="64">
        <f>626.1*Q30*((K30^2)/(M30^5))*0.73*J30</f>
        <v>57.771536472167888</v>
      </c>
      <c r="S30" s="72">
        <v>3000</v>
      </c>
      <c r="T30" s="64">
        <f>S30-R30</f>
        <v>2942.228463527832</v>
      </c>
      <c r="AD30" s="53"/>
      <c r="AE30" s="53"/>
      <c r="AF30" s="53" t="s">
        <v>8</v>
      </c>
      <c r="AG30" s="53"/>
      <c r="AH30" s="54">
        <v>1.2</v>
      </c>
      <c r="AI30" s="54"/>
      <c r="AJ30" s="54"/>
      <c r="AK30" s="53"/>
    </row>
    <row r="31" spans="5:37" ht="15.75">
      <c r="F31" t="s">
        <v>99</v>
      </c>
      <c r="G31" s="34" t="s">
        <v>18</v>
      </c>
      <c r="H31" s="64">
        <v>80</v>
      </c>
      <c r="I31" s="65">
        <f>0.1*H31</f>
        <v>8</v>
      </c>
      <c r="J31" s="66">
        <f>H31+I31</f>
        <v>88</v>
      </c>
      <c r="K31" s="67">
        <v>25</v>
      </c>
      <c r="L31" s="67" t="s">
        <v>112</v>
      </c>
      <c r="M31" s="68">
        <v>5</v>
      </c>
      <c r="N31" s="69">
        <v>1.43E-5</v>
      </c>
      <c r="O31" s="70">
        <f>0.0354*(K31/(M31*N31))</f>
        <v>12377.622377622378</v>
      </c>
      <c r="P31" s="70">
        <f>O31*(0.01/M31)</f>
        <v>24.755244755244757</v>
      </c>
      <c r="Q31" s="71">
        <f>0.11*(((0.01/M31)+(68/O31))^0.25)</f>
        <v>3.2364432549468691E-2</v>
      </c>
      <c r="R31" s="64">
        <f>626.1*Q31*((K31^2)/(M31^5))*0.73*J31</f>
        <v>260.34379342456879</v>
      </c>
      <c r="S31" s="64">
        <f>T30</f>
        <v>2942.228463527832</v>
      </c>
      <c r="T31" s="64">
        <f>S31-R31</f>
        <v>2681.884670103263</v>
      </c>
      <c r="AD31" s="53"/>
      <c r="AE31" s="53"/>
      <c r="AF31" s="53" t="s">
        <v>68</v>
      </c>
      <c r="AG31" s="53"/>
      <c r="AH31" s="54">
        <v>2.8</v>
      </c>
      <c r="AI31" s="53" t="s">
        <v>95</v>
      </c>
      <c r="AJ31" s="53"/>
      <c r="AK31" s="53"/>
    </row>
    <row r="32" spans="5:37" ht="15.75">
      <c r="F32" t="s">
        <v>99</v>
      </c>
      <c r="G32" s="34" t="s">
        <v>19</v>
      </c>
      <c r="H32" s="64">
        <v>4</v>
      </c>
      <c r="I32" s="65">
        <f>0.1*H32</f>
        <v>0.4</v>
      </c>
      <c r="J32" s="66">
        <f>H32+I32</f>
        <v>4.4000000000000004</v>
      </c>
      <c r="K32" s="67">
        <f>2.8+K33</f>
        <v>10.8</v>
      </c>
      <c r="L32" s="67" t="s">
        <v>116</v>
      </c>
      <c r="M32" s="68">
        <v>2.5</v>
      </c>
      <c r="N32" s="69">
        <v>1.43E-5</v>
      </c>
      <c r="O32" s="70">
        <f>0.0354*(K32/(M32*N32))</f>
        <v>10694.265734265735</v>
      </c>
      <c r="P32" s="70">
        <f>O32*(0.01/M32)</f>
        <v>42.777062937062944</v>
      </c>
      <c r="Q32" s="71">
        <f>0.11*(((0.01/M32)+(68/O32))^0.25)</f>
        <v>3.5092750114191412E-2</v>
      </c>
      <c r="R32" s="64">
        <f>626.1*Q32*((K32^2)/(M32^5))*0.73*J32</f>
        <v>84.291563966413619</v>
      </c>
      <c r="S32" s="64">
        <f>T31</f>
        <v>2681.884670103263</v>
      </c>
      <c r="T32" s="64">
        <f>S32-R32</f>
        <v>2597.5931061368492</v>
      </c>
      <c r="AD32" s="53"/>
      <c r="AE32" s="53"/>
      <c r="AF32" s="53"/>
      <c r="AG32" s="53"/>
      <c r="AH32" s="53">
        <v>4.76</v>
      </c>
      <c r="AI32" s="53" t="s">
        <v>96</v>
      </c>
      <c r="AJ32" s="53"/>
      <c r="AK32" s="53"/>
    </row>
    <row r="33" spans="6:37" ht="17.25" customHeight="1">
      <c r="F33" t="s">
        <v>99</v>
      </c>
      <c r="G33" s="34" t="s">
        <v>19</v>
      </c>
      <c r="H33" s="64">
        <v>4</v>
      </c>
      <c r="I33" s="65">
        <f>0.1*H33</f>
        <v>0.4</v>
      </c>
      <c r="J33" s="66">
        <f>H33+I33</f>
        <v>4.4000000000000004</v>
      </c>
      <c r="K33" s="67">
        <f>K34+2.8+1.2</f>
        <v>8</v>
      </c>
      <c r="L33" s="67" t="s">
        <v>116</v>
      </c>
      <c r="M33" s="68">
        <v>2.5</v>
      </c>
      <c r="N33" s="69">
        <v>1.43E-5</v>
      </c>
      <c r="O33" s="70">
        <f>0.0354*(K33/(M33*N33))</f>
        <v>7921.6783216783224</v>
      </c>
      <c r="P33" s="70">
        <f>O33*(0.01/M33)</f>
        <v>31.686713286713289</v>
      </c>
      <c r="Q33" s="71">
        <f>0.11*(((0.01/M33)+(68/O33))^0.25)</f>
        <v>3.6842382216927733E-2</v>
      </c>
      <c r="R33" s="64">
        <f>626.1*Q33*((K33^2)/(M33^5))*0.73*J33</f>
        <v>48.556444093861906</v>
      </c>
      <c r="S33" s="64">
        <f>T32</f>
        <v>2597.5931061368492</v>
      </c>
      <c r="T33" s="64">
        <f>S33-R33</f>
        <v>2549.0366620429872</v>
      </c>
      <c r="AD33" s="50" t="s">
        <v>10</v>
      </c>
      <c r="AE33" s="50" t="s">
        <v>97</v>
      </c>
      <c r="AF33" s="50" t="s">
        <v>12</v>
      </c>
      <c r="AG33" s="50" t="s">
        <v>62</v>
      </c>
      <c r="AH33" s="50" t="s">
        <v>13</v>
      </c>
      <c r="AI33" s="50" t="s">
        <v>14</v>
      </c>
      <c r="AJ33" s="50" t="s">
        <v>15</v>
      </c>
      <c r="AK33" s="50" t="s">
        <v>98</v>
      </c>
    </row>
    <row r="34" spans="6:37" ht="15.75">
      <c r="F34" t="s">
        <v>99</v>
      </c>
      <c r="G34" s="34" t="s">
        <v>19</v>
      </c>
      <c r="H34" s="64">
        <v>4</v>
      </c>
      <c r="I34" s="65">
        <f>0.1*H34</f>
        <v>0.4</v>
      </c>
      <c r="J34" s="66">
        <f>H34+I34</f>
        <v>4.4000000000000004</v>
      </c>
      <c r="K34" s="67">
        <f>2.8+1.2</f>
        <v>4</v>
      </c>
      <c r="L34" s="67" t="s">
        <v>116</v>
      </c>
      <c r="M34" s="68">
        <v>2.5</v>
      </c>
      <c r="N34" s="69">
        <v>1.43E-5</v>
      </c>
      <c r="O34" s="70">
        <f>0.0354*(K34/(M34*N34))</f>
        <v>3960.8391608391612</v>
      </c>
      <c r="P34" s="70">
        <f>O34*(0.01/M34)</f>
        <v>15.843356643356644</v>
      </c>
      <c r="Q34" s="71">
        <f>0.11*(((0.01/M34)+(68/O34))^0.25)</f>
        <v>4.1957832759308221E-2</v>
      </c>
      <c r="R34" s="64">
        <f>626.1*Q34*((K34^2)/(M34^5))*0.73*J34</f>
        <v>13.824588952210055</v>
      </c>
      <c r="S34" s="64">
        <f>T33</f>
        <v>2549.0366620429872</v>
      </c>
      <c r="T34" s="64">
        <f>S34-R34</f>
        <v>2535.2120730907773</v>
      </c>
      <c r="AD34" s="34" t="s">
        <v>57</v>
      </c>
      <c r="AE34" s="55">
        <v>1</v>
      </c>
      <c r="AF34" s="55">
        <f>AE34</f>
        <v>1</v>
      </c>
      <c r="AG34" s="28">
        <v>1</v>
      </c>
      <c r="AH34" s="22">
        <v>0.7</v>
      </c>
      <c r="AI34" s="22">
        <v>4.76</v>
      </c>
      <c r="AJ34" s="22">
        <f>AH34+AI34</f>
        <v>5.46</v>
      </c>
      <c r="AK34" s="55"/>
    </row>
    <row r="35" spans="6:37" ht="15.75">
      <c r="AD35" s="34" t="s">
        <v>58</v>
      </c>
      <c r="AE35" s="55">
        <v>1</v>
      </c>
      <c r="AF35" s="55">
        <f t="shared" ref="AF35:AF36" si="0">AE35+AF34</f>
        <v>2</v>
      </c>
      <c r="AG35" s="28">
        <v>0.65</v>
      </c>
      <c r="AH35" s="22">
        <f>AG35*(AH34+AH31)</f>
        <v>2.2749999999999999</v>
      </c>
      <c r="AI35" s="22">
        <f>AI34+AH31</f>
        <v>7.56</v>
      </c>
      <c r="AJ35" s="22">
        <f t="shared" ref="AJ35:AJ36" si="1">AH35+AI35</f>
        <v>9.8349999999999991</v>
      </c>
      <c r="AK35" s="55"/>
    </row>
    <row r="36" spans="6:37" ht="15.75">
      <c r="AD36" s="34" t="s">
        <v>59</v>
      </c>
      <c r="AE36" s="55">
        <v>0</v>
      </c>
      <c r="AF36" s="55">
        <f t="shared" si="0"/>
        <v>2</v>
      </c>
      <c r="AG36" s="28">
        <v>0.65</v>
      </c>
      <c r="AH36" s="22">
        <f>AH35</f>
        <v>2.2749999999999999</v>
      </c>
      <c r="AI36" s="22">
        <f>AI35+AH31</f>
        <v>10.36</v>
      </c>
      <c r="AJ36" s="22">
        <f t="shared" si="1"/>
        <v>12.635</v>
      </c>
      <c r="AK36" s="55"/>
    </row>
    <row r="37" spans="6:37" ht="15.75">
      <c r="AD37" s="56"/>
      <c r="AE37" s="57"/>
      <c r="AF37" s="57"/>
      <c r="AG37" s="57"/>
      <c r="AH37" s="57"/>
      <c r="AI37" s="58"/>
      <c r="AJ37" s="59"/>
      <c r="AK37" s="57"/>
    </row>
    <row r="38" spans="6:37" ht="15.75">
      <c r="AD38" s="56"/>
      <c r="AE38" s="57"/>
      <c r="AF38" s="57"/>
      <c r="AG38" s="57" t="s">
        <v>38</v>
      </c>
      <c r="AH38" s="60">
        <f>AJ36</f>
        <v>12.635</v>
      </c>
      <c r="AI38" s="57" t="s">
        <v>39</v>
      </c>
      <c r="AJ38" s="57"/>
      <c r="AK38" s="57"/>
    </row>
  </sheetData>
  <mergeCells count="3">
    <mergeCell ref="G19:T19"/>
    <mergeCell ref="G14:S14"/>
    <mergeCell ref="G28:T2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Высокое давление</vt:lpstr>
      <vt:lpstr>Низкое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2014-10-07T03:17:58Z</dcterms:modified>
</cp:coreProperties>
</file>