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720" tabRatio="668" activeTab="1"/>
  </bookViews>
  <sheets>
    <sheet name="Компенсаторы по Николаеву" sheetId="1" r:id="rId1"/>
    <sheet name="Компенсаторы по Соколову" sheetId="2" r:id="rId2"/>
    <sheet name="РД 10-249-98 таблицы 2.1-2.5" sheetId="3" r:id="rId3"/>
    <sheet name="Объемы земляных работ" sheetId="4" r:id="rId4"/>
    <sheet name="Гидравлика" sheetId="5" r:id="rId5"/>
    <sheet name="Трубы" sheetId="6" r:id="rId6"/>
    <sheet name="КМС" sheetId="7" r:id="rId7"/>
    <sheet name="Лист1" sheetId="8" r:id="rId8"/>
  </sheets>
  <definedNames>
    <definedName name="Диаметр_наружный" localSheetId="4">'Трубы'!$C$6:$C$30</definedName>
    <definedName name="Диаметр_наружный">'Трубы'!$C$6:$C$31</definedName>
    <definedName name="КМС" localSheetId="4">#REF!</definedName>
    <definedName name="КМС">'КМС'!#REF!</definedName>
    <definedName name="_xlnm.Print_Area" localSheetId="4">'Гидравлика'!$A$7:$L$88</definedName>
    <definedName name="_xlnm.Print_Area" localSheetId="0">'Компенсаторы по Николаеву'!$A$7:$R$80</definedName>
    <definedName name="_xlnm.Print_Area" localSheetId="1">'Компенсаторы по Соколову'!$A$7:$AB$38</definedName>
    <definedName name="_xlnm.Print_Area" localSheetId="3">'Объемы земляных работ'!$A$6:$I$38</definedName>
    <definedName name="Сварка" localSheetId="0">'Компенсаторы по Николаеву'!$T$9:$T$12</definedName>
    <definedName name="Сварка">'Компенсаторы по Соколову'!$AD$26:$AD$29</definedName>
  </definedNames>
  <calcPr fullCalcOnLoad="1"/>
</workbook>
</file>

<file path=xl/comments1.xml><?xml version="1.0" encoding="utf-8"?>
<comments xmlns="http://schemas.openxmlformats.org/spreadsheetml/2006/main">
  <authors>
    <author>volosatov</author>
  </authors>
  <commentList>
    <comment ref="M16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  <comment ref="M19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  <comment ref="M56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  <comment ref="M58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</commentList>
</comments>
</file>

<file path=xl/comments2.xml><?xml version="1.0" encoding="utf-8"?>
<comments xmlns="http://schemas.openxmlformats.org/spreadsheetml/2006/main">
  <authors>
    <author>volosatov</author>
    <author>Pashik</author>
  </authors>
  <commentList>
    <comment ref="U23" authorId="0">
      <text>
        <r>
          <rPr>
            <sz val="12"/>
            <rFont val="Tahoma"/>
            <family val="2"/>
          </rPr>
          <t>для стали</t>
        </r>
      </text>
    </comment>
    <comment ref="U11" authorId="0">
      <text>
        <r>
          <rPr>
            <sz val="10"/>
            <rFont val="Tahoma"/>
            <family val="2"/>
          </rPr>
          <t>для гнутых отводов указать радиус, для жестких сварных R=0</t>
        </r>
      </text>
    </comment>
    <comment ref="G12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  <comment ref="G18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  <comment ref="N11" authorId="1">
      <text>
        <r>
          <rPr>
            <b/>
            <sz val="12"/>
            <rFont val="Times New Roman"/>
            <family val="1"/>
          </rPr>
          <t>СНиП 3.05.01-85</t>
        </r>
        <r>
          <rPr>
            <sz val="12"/>
            <rFont val="Times New Roman"/>
            <family val="1"/>
          </rPr>
          <t xml:space="preserve">
2.3. Повороты трубопроводов в системах отопления и теплоснабжения следует выполнять путем </t>
        </r>
        <r>
          <rPr>
            <b/>
            <sz val="12"/>
            <rFont val="Times New Roman"/>
            <family val="1"/>
          </rPr>
          <t>изгиба труб</t>
        </r>
        <r>
          <rPr>
            <sz val="12"/>
            <rFont val="Times New Roman"/>
            <family val="1"/>
          </rPr>
          <t xml:space="preserve"> или применения </t>
        </r>
        <r>
          <rPr>
            <b/>
            <sz val="12"/>
            <rFont val="Times New Roman"/>
            <family val="1"/>
          </rPr>
          <t>бесшовных приварных отводов</t>
        </r>
        <r>
          <rPr>
            <sz val="12"/>
            <rFont val="Times New Roman"/>
            <family val="1"/>
          </rPr>
          <t xml:space="preserve"> из углеродистой стали по ГОСТ 17375—83.
</t>
        </r>
        <r>
          <rPr>
            <b/>
            <sz val="12"/>
            <rFont val="Times New Roman"/>
            <family val="1"/>
          </rPr>
          <t>Радиус гиба</t>
        </r>
        <r>
          <rPr>
            <sz val="12"/>
            <rFont val="Times New Roman"/>
            <family val="1"/>
          </rPr>
          <t xml:space="preserve"> труб с </t>
        </r>
        <r>
          <rPr>
            <b/>
            <sz val="12"/>
            <rFont val="Times New Roman"/>
            <family val="1"/>
          </rPr>
          <t>условным проходом до</t>
        </r>
        <r>
          <rPr>
            <sz val="12"/>
            <rFont val="Times New Roman"/>
            <family val="1"/>
          </rPr>
          <t xml:space="preserve"> </t>
        </r>
        <r>
          <rPr>
            <b/>
            <sz val="12"/>
            <rFont val="Times New Roman"/>
            <family val="1"/>
          </rPr>
          <t>40 мм</t>
        </r>
        <r>
          <rPr>
            <sz val="12"/>
            <rFont val="Times New Roman"/>
            <family val="1"/>
          </rPr>
          <t xml:space="preserve"> включительно должен быть не менее </t>
        </r>
        <r>
          <rPr>
            <b/>
            <sz val="12"/>
            <rFont val="Times New Roman"/>
            <family val="1"/>
          </rPr>
          <t>2,5 D</t>
        </r>
        <r>
          <rPr>
            <b/>
            <vertAlign val="subscript"/>
            <sz val="12"/>
            <rFont val="Times New Roman"/>
            <family val="1"/>
          </rPr>
          <t>нар</t>
        </r>
        <r>
          <rPr>
            <sz val="12"/>
            <rFont val="Times New Roman"/>
            <family val="1"/>
          </rPr>
          <t xml:space="preserve">, а с </t>
        </r>
        <r>
          <rPr>
            <b/>
            <sz val="12"/>
            <rFont val="Times New Roman"/>
            <family val="1"/>
          </rPr>
          <t>условным проходом 50 мм</t>
        </r>
        <r>
          <rPr>
            <sz val="12"/>
            <rFont val="Times New Roman"/>
            <family val="1"/>
          </rPr>
          <t xml:space="preserve"> и более - не менее </t>
        </r>
        <r>
          <rPr>
            <b/>
            <sz val="12"/>
            <rFont val="Times New Roman"/>
            <family val="1"/>
          </rPr>
          <t>3,5 D</t>
        </r>
        <r>
          <rPr>
            <b/>
            <vertAlign val="subscript"/>
            <sz val="12"/>
            <rFont val="Times New Roman"/>
            <family val="1"/>
          </rPr>
          <t>нар</t>
        </r>
        <r>
          <rPr>
            <b/>
            <sz val="12"/>
            <rFont val="Times New Roman"/>
            <family val="1"/>
          </rPr>
          <t xml:space="preserve"> трубы</t>
        </r>
        <r>
          <rPr>
            <sz val="12"/>
            <rFont val="Times New Roman"/>
            <family val="1"/>
          </rPr>
          <t>.</t>
        </r>
      </text>
    </comment>
    <comment ref="U15" authorId="0">
      <text>
        <r>
          <rPr>
            <sz val="12"/>
            <rFont val="Tahoma"/>
            <family val="2"/>
          </rPr>
          <t>для стали марок 10, 15, 20 Ст.2, Ст.3, Ст.4</t>
        </r>
      </text>
    </comment>
  </commentList>
</comments>
</file>

<file path=xl/comments4.xml><?xml version="1.0" encoding="utf-8"?>
<comments xmlns="http://schemas.openxmlformats.org/spreadsheetml/2006/main">
  <authors>
    <author>volosatov</author>
  </authors>
  <commentList>
    <comment ref="B27" authorId="0">
      <text>
        <r>
          <rPr>
            <sz val="10"/>
            <rFont val="Tahoma"/>
            <family val="2"/>
          </rPr>
          <t>у камер, в местах пересечения с коммуникациями, у дома</t>
        </r>
      </text>
    </comment>
    <comment ref="B30" authorId="0">
      <text>
        <r>
          <rPr>
            <sz val="10"/>
            <rFont val="Tahoma"/>
            <family val="2"/>
          </rPr>
          <t>в местах пересечения с коммуникациями, под дорогами</t>
        </r>
      </text>
    </comment>
    <comment ref="B31" authorId="0">
      <text>
        <r>
          <rPr>
            <sz val="10"/>
            <rFont val="Tahoma"/>
            <family val="2"/>
          </rPr>
          <t>в местах пересечения с коммуникациями, под дорогами</t>
        </r>
      </text>
    </comment>
    <comment ref="B12" authorId="0">
      <text>
        <r>
          <rPr>
            <sz val="10"/>
            <rFont val="Tahoma"/>
            <family val="2"/>
          </rPr>
          <t xml:space="preserve">около сущ. камер, домов </t>
        </r>
      </text>
    </comment>
    <comment ref="B14" authorId="0">
      <text>
        <r>
          <rPr>
            <sz val="10"/>
            <rFont val="Tahoma"/>
            <family val="2"/>
          </rPr>
          <t>Например:
1:0,5 = 0,5
1:1 = 1</t>
        </r>
      </text>
    </comment>
    <comment ref="B16" authorId="0">
      <text>
        <r>
          <rPr>
            <sz val="10"/>
            <rFont val="Tahoma"/>
            <family val="2"/>
          </rPr>
          <t>Диаметр наружный труб теплотрассы</t>
        </r>
      </text>
    </comment>
  </commentList>
</comments>
</file>

<file path=xl/sharedStrings.xml><?xml version="1.0" encoding="utf-8"?>
<sst xmlns="http://schemas.openxmlformats.org/spreadsheetml/2006/main" count="733" uniqueCount="409">
  <si>
    <r>
      <t>D</t>
    </r>
    <r>
      <rPr>
        <sz val="12"/>
        <rFont val="Times New Roman"/>
        <family val="0"/>
      </rPr>
      <t xml:space="preserve">t, 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0"/>
      </rPr>
      <t>C</t>
    </r>
  </si>
  <si>
    <t>l, м</t>
  </si>
  <si>
    <t>длина короткого плеча</t>
  </si>
  <si>
    <r>
      <t>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>, м</t>
    </r>
  </si>
  <si>
    <t>длина длинного плеча</t>
  </si>
  <si>
    <t>коэффициент линейного удлинения</t>
  </si>
  <si>
    <r>
      <t>D</t>
    </r>
    <r>
      <rPr>
        <sz val="12"/>
        <rFont val="Times New Roman"/>
        <family val="0"/>
      </rPr>
      <t>, м</t>
    </r>
  </si>
  <si>
    <t>удлинение короткого плеча</t>
  </si>
  <si>
    <t>n</t>
  </si>
  <si>
    <t>отношение длины длинного плеча к длине короткого</t>
  </si>
  <si>
    <r>
      <t>w</t>
    </r>
    <r>
      <rPr>
        <sz val="12"/>
        <rFont val="Times New Roman"/>
        <family val="0"/>
      </rPr>
      <t xml:space="preserve">, </t>
    </r>
    <r>
      <rPr>
        <vertAlign val="superscript"/>
        <sz val="12"/>
        <rFont val="Times New Roman"/>
        <family val="1"/>
      </rPr>
      <t>o</t>
    </r>
  </si>
  <si>
    <t>угол между коротким и длинным плечами</t>
  </si>
  <si>
    <r>
      <t>b</t>
    </r>
    <r>
      <rPr>
        <sz val="12"/>
        <rFont val="Times New Roman"/>
        <family val="1"/>
      </rPr>
      <t>=</t>
    </r>
    <r>
      <rPr>
        <sz val="12"/>
        <rFont val="UniversalMath1 BT"/>
        <family val="1"/>
      </rPr>
      <t>w</t>
    </r>
    <r>
      <rPr>
        <sz val="12"/>
        <rFont val="Times New Roman"/>
        <family val="1"/>
      </rPr>
      <t>-90</t>
    </r>
    <r>
      <rPr>
        <sz val="12"/>
        <rFont val="Times New Roman"/>
        <family val="0"/>
      </rPr>
      <t xml:space="preserve">, </t>
    </r>
    <r>
      <rPr>
        <vertAlign val="superscript"/>
        <sz val="12"/>
        <rFont val="Times New Roman"/>
        <family val="1"/>
      </rPr>
      <t>o</t>
    </r>
  </si>
  <si>
    <t>наружный диаметр трубопровода</t>
  </si>
  <si>
    <t>модуль продольной упругости</t>
  </si>
  <si>
    <r>
      <t>s</t>
    </r>
    <r>
      <rPr>
        <sz val="12"/>
        <rFont val="Times New Roman"/>
        <family val="1"/>
      </rPr>
      <t>, МПа</t>
    </r>
  </si>
  <si>
    <t>Е, МПа</t>
  </si>
  <si>
    <t>разность температур рабочей и при монтаже</t>
  </si>
  <si>
    <r>
      <t>s</t>
    </r>
    <r>
      <rPr>
        <vertAlign val="subscript"/>
        <sz val="12"/>
        <rFont val="Times New Roman"/>
        <family val="1"/>
      </rPr>
      <t>доп</t>
    </r>
    <r>
      <rPr>
        <sz val="12"/>
        <rFont val="Times New Roman"/>
        <family val="1"/>
      </rPr>
      <t>, МПа</t>
    </r>
  </si>
  <si>
    <t>макс. изгибающее напряжение, возникающее в коротком плече в месте защемления у неподвижной опоры</t>
  </si>
  <si>
    <t>L, м</t>
  </si>
  <si>
    <t>расстояние между неподвижными опорами</t>
  </si>
  <si>
    <t>линейное удлинение компенсируемого участка</t>
  </si>
  <si>
    <r>
      <t>d</t>
    </r>
    <r>
      <rPr>
        <sz val="12"/>
        <rFont val="Times New Roman"/>
        <family val="0"/>
      </rPr>
      <t>, м</t>
    </r>
  </si>
  <si>
    <t>толщина стенки трубопровода</t>
  </si>
  <si>
    <r>
      <t>r</t>
    </r>
    <r>
      <rPr>
        <vertAlign val="subscript"/>
        <sz val="12"/>
        <rFont val="Times New Roman"/>
        <family val="1"/>
      </rPr>
      <t>ср</t>
    </r>
    <r>
      <rPr>
        <sz val="12"/>
        <rFont val="Times New Roman"/>
        <family val="1"/>
      </rPr>
      <t>, м</t>
    </r>
  </si>
  <si>
    <t>радиус изгиба оси трубы</t>
  </si>
  <si>
    <r>
      <t>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>, м</t>
    </r>
  </si>
  <si>
    <t>h</t>
  </si>
  <si>
    <t>геометрическая характеристика отвода</t>
  </si>
  <si>
    <t>R, м</t>
  </si>
  <si>
    <t>радиус отвода</t>
  </si>
  <si>
    <t>длина спинки компенсатора</t>
  </si>
  <si>
    <t>вылет компенсатора</t>
  </si>
  <si>
    <r>
      <t>l</t>
    </r>
    <r>
      <rPr>
        <sz val="12"/>
        <rFont val="Times New Roman"/>
        <family val="0"/>
      </rPr>
      <t>, м</t>
    </r>
  </si>
  <si>
    <t>k</t>
  </si>
  <si>
    <t>m</t>
  </si>
  <si>
    <t>поправочный коэффициент напряжения</t>
  </si>
  <si>
    <t>центральный момент инерции сечения трубы</t>
  </si>
  <si>
    <r>
      <t>I, 10</t>
    </r>
    <r>
      <rPr>
        <vertAlign val="superscript"/>
        <sz val="12"/>
        <rFont val="Times New Roman"/>
        <family val="1"/>
      </rPr>
      <t>5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4</t>
    </r>
  </si>
  <si>
    <t>P, H</t>
  </si>
  <si>
    <t>осевое усилие</t>
  </si>
  <si>
    <t>допускаемое компенсационное напряжение</t>
  </si>
  <si>
    <t>макс. изгибающее напряжение, возникающее в средней части спинки компенсатора</t>
  </si>
  <si>
    <r>
      <t>l</t>
    </r>
    <r>
      <rPr>
        <vertAlign val="subscript"/>
        <sz val="12"/>
        <rFont val="Times New Roman"/>
        <family val="1"/>
      </rPr>
      <t>м</t>
    </r>
    <r>
      <rPr>
        <sz val="12"/>
        <rFont val="Times New Roman"/>
        <family val="0"/>
      </rPr>
      <t>, м</t>
    </r>
  </si>
  <si>
    <r>
      <t>l</t>
    </r>
    <r>
      <rPr>
        <vertAlign val="subscript"/>
        <sz val="12"/>
        <rFont val="Times New Roman"/>
        <family val="1"/>
      </rPr>
      <t>б</t>
    </r>
    <r>
      <rPr>
        <sz val="12"/>
        <rFont val="Times New Roman"/>
        <family val="0"/>
      </rPr>
      <t>, м</t>
    </r>
  </si>
  <si>
    <r>
      <t>s</t>
    </r>
    <r>
      <rPr>
        <vertAlign val="subscript"/>
        <sz val="12"/>
        <rFont val="Times New Roman"/>
        <family val="1"/>
      </rPr>
      <t>а</t>
    </r>
    <r>
      <rPr>
        <sz val="12"/>
        <rFont val="Times New Roman"/>
        <family val="1"/>
      </rPr>
      <t>, МПа</t>
    </r>
  </si>
  <si>
    <r>
      <t>s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, МПа</t>
    </r>
  </si>
  <si>
    <t>изгибающее напряжение, возникающее в большем плече в месте защемления у неподвижной опоры</t>
  </si>
  <si>
    <t>изгибающее напряжение, возникающее в меньшем плече в месте защемления у неподвижной опоры</t>
  </si>
  <si>
    <r>
      <t>s</t>
    </r>
    <r>
      <rPr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>, МПа</t>
    </r>
  </si>
  <si>
    <t>изгибающее напряжение, возникающее в отводе меньшего плеча</t>
  </si>
  <si>
    <t>изгибающее напряжение, возникающее в отводе большего плеча</t>
  </si>
  <si>
    <t>А</t>
  </si>
  <si>
    <t>p</t>
  </si>
  <si>
    <r>
      <t>s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>, МПа</t>
    </r>
  </si>
  <si>
    <t>d</t>
  </si>
  <si>
    <t>c</t>
  </si>
  <si>
    <t>a</t>
  </si>
  <si>
    <t>длина меньшего параллельного плеча</t>
  </si>
  <si>
    <t>длина большего параллельного плеча</t>
  </si>
  <si>
    <t>Py</t>
  </si>
  <si>
    <t>сила упругой деформации</t>
  </si>
  <si>
    <t>Разработка грунта экскаватором с отвозкой</t>
  </si>
  <si>
    <t>Разработка грунта вручную с отвозкой</t>
  </si>
  <si>
    <t>Подчистка дна траншеи вручную</t>
  </si>
  <si>
    <t>Устройство песчаного основания</t>
  </si>
  <si>
    <t>Засыпка траншеи малосжимаемым грунтом вручную</t>
  </si>
  <si>
    <t>Засыпка траншеи малосжимаемым грунтом бульдозером</t>
  </si>
  <si>
    <t>Засыпка траншеи обычным грунтом вручную</t>
  </si>
  <si>
    <t>Засыпка траншеи обычным грунтом бульдозером</t>
  </si>
  <si>
    <t>Объем грунта, вытесненного каналом</t>
  </si>
  <si>
    <t>на группу зд.</t>
  </si>
  <si>
    <t>на дом</t>
  </si>
  <si>
    <t>Количество на</t>
  </si>
  <si>
    <t>Ед. изме- рения</t>
  </si>
  <si>
    <t>НАИМЕНОВАНИЕ РАБОТ</t>
  </si>
  <si>
    <t>№ п/п</t>
  </si>
  <si>
    <t xml:space="preserve">  -под дорогой</t>
  </si>
  <si>
    <t>Длина трассы, м:</t>
  </si>
  <si>
    <t xml:space="preserve">  -разработка вручную</t>
  </si>
  <si>
    <t xml:space="preserve">  -общая</t>
  </si>
  <si>
    <t>Характеристика</t>
  </si>
  <si>
    <t>Диаметр наружн., мм</t>
  </si>
  <si>
    <t>Отношение высоты откоса к его залож.</t>
  </si>
  <si>
    <t>Глубина траншеи, м</t>
  </si>
  <si>
    <t>Ширина траншеи по верху, м</t>
  </si>
  <si>
    <t>Ширина траншеи по низу, м</t>
  </si>
  <si>
    <r>
      <t>м</t>
    </r>
    <r>
      <rPr>
        <vertAlign val="superscript"/>
        <sz val="12"/>
        <rFont val="Times New Roman"/>
        <family val="1"/>
      </rPr>
      <t>3</t>
    </r>
  </si>
  <si>
    <t>Высота канала, м</t>
  </si>
  <si>
    <t>Ширина канала, м</t>
  </si>
  <si>
    <t xml:space="preserve">  -при пересечениях</t>
  </si>
  <si>
    <t>Формула</t>
  </si>
  <si>
    <t>Результат</t>
  </si>
  <si>
    <t>Пояснения</t>
  </si>
  <si>
    <t>Величина</t>
  </si>
  <si>
    <t>исходные данные</t>
  </si>
  <si>
    <r>
      <t>n = 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/l</t>
    </r>
  </si>
  <si>
    <r>
      <t>l</t>
    </r>
    <r>
      <rPr>
        <vertAlign val="superscript"/>
        <sz val="12"/>
        <rFont val="Times New Roman"/>
        <family val="1"/>
      </rPr>
      <t>2</t>
    </r>
    <r>
      <rPr>
        <sz val="12"/>
        <rFont val="UniversalMath1 BT"/>
        <family val="1"/>
      </rPr>
      <t>.</t>
    </r>
    <r>
      <rPr>
        <sz val="12"/>
        <rFont val="Times New Roman"/>
        <family val="0"/>
      </rPr>
      <t>cos</t>
    </r>
    <r>
      <rPr>
        <sz val="12"/>
        <rFont val="UniversalMath1 BT"/>
        <family val="1"/>
      </rPr>
      <t>b</t>
    </r>
  </si>
  <si>
    <r>
      <t>1,5</t>
    </r>
    <r>
      <rPr>
        <sz val="12"/>
        <rFont val="UniversalMath1 BT"/>
        <family val="1"/>
      </rPr>
      <t>.D.</t>
    </r>
    <r>
      <rPr>
        <sz val="12"/>
        <rFont val="Times New Roman"/>
        <family val="1"/>
      </rPr>
      <t>E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d</t>
    </r>
  </si>
  <si>
    <r>
      <t>s</t>
    </r>
    <r>
      <rPr>
        <sz val="12"/>
        <rFont val="Times New Roman"/>
        <family val="1"/>
      </rPr>
      <t xml:space="preserve"> =</t>
    </r>
  </si>
  <si>
    <r>
      <t>D</t>
    </r>
    <r>
      <rPr>
        <sz val="12"/>
        <rFont val="Times New Roman"/>
        <family val="0"/>
      </rPr>
      <t xml:space="preserve"> = </t>
    </r>
    <r>
      <rPr>
        <sz val="12"/>
        <rFont val="UniversalMath1 BT"/>
        <family val="1"/>
      </rPr>
      <t>a</t>
    </r>
    <r>
      <rPr>
        <sz val="12"/>
        <rFont val="Times New Roman"/>
        <family val="1"/>
      </rPr>
      <t>×</t>
    </r>
    <r>
      <rPr>
        <sz val="12"/>
        <rFont val="Times New Roman"/>
        <family val="0"/>
      </rPr>
      <t>l</t>
    </r>
    <r>
      <rPr>
        <sz val="12"/>
        <rFont val="Times New Roman"/>
        <family val="1"/>
      </rPr>
      <t>×</t>
    </r>
    <r>
      <rPr>
        <sz val="12"/>
        <rFont val="UniversalMath1 BT"/>
        <family val="1"/>
      </rPr>
      <t>D</t>
    </r>
    <r>
      <rPr>
        <sz val="12"/>
        <rFont val="Times New Roman"/>
        <family val="0"/>
      </rPr>
      <t>t</t>
    </r>
  </si>
  <si>
    <t>n+3</t>
  </si>
  <si>
    <t>n+1</t>
  </si>
  <si>
    <t>длина перпендикулярного плеча</t>
  </si>
  <si>
    <t>РД 10-249-98 таблицы 2.1-2.5</t>
  </si>
  <si>
    <r>
      <t>sin</t>
    </r>
    <r>
      <rPr>
        <sz val="12"/>
        <rFont val="UniversalMath1 BT"/>
        <family val="1"/>
      </rPr>
      <t>b</t>
    </r>
    <r>
      <rPr>
        <sz val="12"/>
        <rFont val="Times New Roman"/>
        <family val="1"/>
      </rPr>
      <t>)</t>
    </r>
  </si>
  <si>
    <t>коэффициент жесткости гнутого гладкого отвода</t>
  </si>
  <si>
    <r>
      <t>w</t>
    </r>
  </si>
  <si>
    <t>А =</t>
  </si>
  <si>
    <r>
      <t>D</t>
    </r>
    <r>
      <rPr>
        <sz val="12"/>
        <rFont val="Times New Roman"/>
        <family val="0"/>
      </rPr>
      <t xml:space="preserve"> = </t>
    </r>
    <r>
      <rPr>
        <sz val="12"/>
        <rFont val="UniversalMath1 BT"/>
        <family val="1"/>
      </rPr>
      <t>a</t>
    </r>
    <r>
      <rPr>
        <sz val="12"/>
        <rFont val="Times New Roman"/>
        <family val="1"/>
      </rPr>
      <t>×</t>
    </r>
    <r>
      <rPr>
        <sz val="12"/>
        <rFont val="Times New Roman"/>
        <family val="0"/>
      </rPr>
      <t>L</t>
    </r>
    <r>
      <rPr>
        <sz val="12"/>
        <rFont val="Times New Roman"/>
        <family val="1"/>
      </rPr>
      <t>×</t>
    </r>
    <r>
      <rPr>
        <sz val="12"/>
        <rFont val="UniversalMath1 BT"/>
        <family val="1"/>
      </rPr>
      <t>D</t>
    </r>
    <r>
      <rPr>
        <sz val="12"/>
        <rFont val="Times New Roman"/>
        <family val="0"/>
      </rPr>
      <t>t</t>
    </r>
  </si>
  <si>
    <r>
      <t>r</t>
    </r>
    <r>
      <rPr>
        <vertAlign val="subscript"/>
        <sz val="12"/>
        <rFont val="Times New Roman"/>
        <family val="1"/>
      </rPr>
      <t>ср</t>
    </r>
    <r>
      <rPr>
        <sz val="12"/>
        <rFont val="Times New Roman"/>
        <family val="1"/>
      </rPr>
      <t xml:space="preserve"> = (d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- </t>
    </r>
    <r>
      <rPr>
        <sz val="12"/>
        <rFont val="UniversalMath1 BT"/>
        <family val="1"/>
      </rPr>
      <t>d</t>
    </r>
    <r>
      <rPr>
        <sz val="12"/>
        <rFont val="Times New Roman"/>
        <family val="1"/>
      </rPr>
      <t>)/2</t>
    </r>
  </si>
  <si>
    <r>
      <t xml:space="preserve">h = </t>
    </r>
    <r>
      <rPr>
        <sz val="12"/>
        <rFont val="UniversalMath1 BT"/>
        <family val="1"/>
      </rPr>
      <t>d.</t>
    </r>
    <r>
      <rPr>
        <sz val="12"/>
        <rFont val="Times New Roman"/>
        <family val="1"/>
      </rPr>
      <t>R/r</t>
    </r>
    <r>
      <rPr>
        <vertAlign val="superscript"/>
        <sz val="12"/>
        <rFont val="Times New Roman"/>
        <family val="1"/>
      </rPr>
      <t>2</t>
    </r>
    <r>
      <rPr>
        <vertAlign val="subscript"/>
        <sz val="12"/>
        <rFont val="Times New Roman"/>
        <family val="1"/>
      </rPr>
      <t>ср</t>
    </r>
  </si>
  <si>
    <t>коэфф., учитывающий предварительную растяжку</t>
  </si>
  <si>
    <r>
      <t xml:space="preserve">P = </t>
    </r>
    <r>
      <rPr>
        <sz val="12"/>
        <rFont val="UniversalMath1 BT"/>
        <family val="1"/>
      </rPr>
      <t>D.</t>
    </r>
    <r>
      <rPr>
        <sz val="12"/>
        <rFont val="Times New Roman"/>
        <family val="1"/>
      </rPr>
      <t>E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I/A</t>
    </r>
  </si>
  <si>
    <r>
      <t>А, м</t>
    </r>
    <r>
      <rPr>
        <vertAlign val="superscript"/>
        <sz val="12"/>
        <rFont val="Times New Roman"/>
        <family val="1"/>
      </rPr>
      <t>3</t>
    </r>
  </si>
  <si>
    <r>
      <t>s</t>
    </r>
    <r>
      <rPr>
        <sz val="12"/>
        <rFont val="Times New Roman"/>
        <family val="1"/>
      </rPr>
      <t xml:space="preserve"> = </t>
    </r>
    <r>
      <rPr>
        <sz val="12"/>
        <rFont val="UniversalMath1 BT"/>
        <family val="1"/>
      </rPr>
      <t>D.</t>
    </r>
    <r>
      <rPr>
        <sz val="12"/>
        <rFont val="Times New Roman"/>
        <family val="1"/>
      </rPr>
      <t>E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d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l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m</t>
    </r>
    <r>
      <rPr>
        <sz val="12"/>
        <rFont val="UniversalMath1 BT"/>
        <family val="1"/>
      </rPr>
      <t>.w</t>
    </r>
    <r>
      <rPr>
        <sz val="12"/>
        <rFont val="Times New Roman"/>
        <family val="1"/>
      </rPr>
      <t>/A</t>
    </r>
  </si>
  <si>
    <t>расчетная величина</t>
  </si>
  <si>
    <r>
      <t>n = l</t>
    </r>
    <r>
      <rPr>
        <vertAlign val="subscript"/>
        <sz val="12"/>
        <rFont val="Times New Roman"/>
        <family val="1"/>
      </rPr>
      <t>м</t>
    </r>
    <r>
      <rPr>
        <sz val="12"/>
        <rFont val="Times New Roman"/>
        <family val="0"/>
      </rPr>
      <t>/(l</t>
    </r>
    <r>
      <rPr>
        <vertAlign val="subscript"/>
        <sz val="12"/>
        <rFont val="Times New Roman"/>
        <family val="1"/>
      </rPr>
      <t>м</t>
    </r>
    <r>
      <rPr>
        <sz val="12"/>
        <rFont val="Times New Roman"/>
        <family val="0"/>
      </rPr>
      <t>+l</t>
    </r>
    <r>
      <rPr>
        <vertAlign val="subscript"/>
        <sz val="12"/>
        <rFont val="Times New Roman"/>
        <family val="1"/>
      </rPr>
      <t>б</t>
    </r>
    <r>
      <rPr>
        <sz val="12"/>
        <rFont val="Times New Roman"/>
        <family val="0"/>
      </rPr>
      <t>)</t>
    </r>
  </si>
  <si>
    <r>
      <t>p = (l</t>
    </r>
    <r>
      <rPr>
        <vertAlign val="subscript"/>
        <sz val="12"/>
        <rFont val="Times New Roman"/>
        <family val="1"/>
      </rPr>
      <t>м</t>
    </r>
    <r>
      <rPr>
        <sz val="12"/>
        <rFont val="Times New Roman"/>
        <family val="0"/>
      </rPr>
      <t>+l</t>
    </r>
    <r>
      <rPr>
        <vertAlign val="subscript"/>
        <sz val="12"/>
        <rFont val="Times New Roman"/>
        <family val="1"/>
      </rPr>
      <t>б</t>
    </r>
    <r>
      <rPr>
        <sz val="12"/>
        <rFont val="Times New Roman"/>
        <family val="0"/>
      </rPr>
      <t>)/l</t>
    </r>
  </si>
  <si>
    <t>расчетный коэффициент</t>
  </si>
  <si>
    <r>
      <t>3[p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+ 4p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+ 3−6n(1−n)(2p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−p+1)]</t>
    </r>
  </si>
  <si>
    <r>
      <t>А = 2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[</t>
    </r>
  </si>
  <si>
    <r>
      <t>(3,14Rl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-2,28R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l+1,4R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)+0,67l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+l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-4Rl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+2R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l-1,33R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]</t>
    </r>
  </si>
  <si>
    <r>
      <t>I = 0,05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[d</t>
    </r>
    <r>
      <rPr>
        <vertAlign val="subscript"/>
        <sz val="12"/>
        <rFont val="Times New Roman"/>
        <family val="1"/>
      </rPr>
      <t>н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- (d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- 2</t>
    </r>
    <r>
      <rPr>
        <sz val="12"/>
        <rFont val="UniversalMath1 BT"/>
        <family val="1"/>
      </rPr>
      <t>d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]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5</t>
    </r>
  </si>
  <si>
    <r>
      <t>p(1+p)(1−3n+3n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)(1+3pn−3pn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</si>
  <si>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B</t>
  </si>
  <si>
    <t>B =</t>
  </si>
  <si>
    <r>
      <t>3[3p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+ 4p + 1+6np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(1−n)(2−p</t>
    </r>
    <r>
      <rPr>
        <sz val="12"/>
        <rFont val="Times New Roman"/>
        <family val="1"/>
      </rPr>
      <t>+p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)]</t>
    </r>
  </si>
  <si>
    <r>
      <t>p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(1+p)(1−3n+3n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)(1+3pn−3pn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</si>
  <si>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C</t>
    </r>
    <r>
      <rPr>
        <vertAlign val="subscript"/>
        <sz val="12"/>
        <rFont val="Times New Roman"/>
        <family val="1"/>
      </rPr>
      <t>(a)</t>
    </r>
  </si>
  <si>
    <r>
      <t>C</t>
    </r>
    <r>
      <rPr>
        <vertAlign val="subscript"/>
        <sz val="12"/>
        <rFont val="Times New Roman"/>
        <family val="1"/>
      </rPr>
      <t>(b)</t>
    </r>
  </si>
  <si>
    <r>
      <t>C</t>
    </r>
    <r>
      <rPr>
        <vertAlign val="subscript"/>
        <sz val="12"/>
        <rFont val="Times New Roman"/>
        <family val="1"/>
      </rPr>
      <t>(c)</t>
    </r>
  </si>
  <si>
    <r>
      <t>C</t>
    </r>
    <r>
      <rPr>
        <vertAlign val="subscript"/>
        <sz val="12"/>
        <rFont val="Times New Roman"/>
        <family val="1"/>
      </rPr>
      <t>(d)</t>
    </r>
  </si>
  <si>
    <r>
      <t>C</t>
    </r>
    <r>
      <rPr>
        <vertAlign val="subscript"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=</t>
    </r>
  </si>
  <si>
    <r>
      <t>C</t>
    </r>
    <r>
      <rPr>
        <vertAlign val="subscript"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=</t>
    </r>
  </si>
  <si>
    <r>
      <t>C</t>
    </r>
    <r>
      <rPr>
        <vertAlign val="subscript"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=</t>
    </r>
  </si>
  <si>
    <r>
      <t>C</t>
    </r>
    <r>
      <rPr>
        <vertAlign val="subscript"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=</t>
    </r>
  </si>
  <si>
    <r>
      <t>2pn + p</t>
    </r>
    <r>
      <rPr>
        <vertAlign val="superscript"/>
        <sz val="12"/>
        <rFont val="Times New Roman"/>
        <family val="1"/>
      </rPr>
      <t>2</t>
    </r>
  </si>
  <si>
    <t>2(1 + p)</t>
  </si>
  <si>
    <t>× (n + 1 +</t>
  </si>
  <si>
    <t>1 + 2p − 2pn</t>
  </si>
  <si>
    <t>B    −    A</t>
  </si>
  <si>
    <t>1 + 2pn</t>
  </si>
  <si>
    <t>A    −    B</t>
  </si>
  <si>
    <r>
      <t>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+ 2p − 2pn</t>
    </r>
  </si>
  <si>
    <r>
      <t>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- 2p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n</t>
    </r>
  </si>
  <si>
    <r>
      <t>s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 xml:space="preserve">(a) </t>
    </r>
    <r>
      <rPr>
        <sz val="12"/>
        <rFont val="UniversalMath1 BT"/>
        <family val="1"/>
      </rPr>
      <t xml:space="preserve">. a . E . 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</t>
    </r>
    <r>
      <rPr>
        <sz val="12"/>
        <rFont val="UniversalMath1 BT"/>
        <family val="1"/>
      </rPr>
      <t>. D</t>
    </r>
    <r>
      <rPr>
        <sz val="12"/>
        <rFont val="Times New Roman"/>
        <family val="1"/>
      </rPr>
      <t xml:space="preserve">t / (2 </t>
    </r>
    <r>
      <rPr>
        <sz val="12"/>
        <rFont val="UniversalMath1 BT"/>
        <family val="1"/>
      </rPr>
      <t xml:space="preserve">. </t>
    </r>
    <r>
      <rPr>
        <sz val="12"/>
        <rFont val="Times New Roman"/>
        <family val="1"/>
      </rPr>
      <t>l)</t>
    </r>
  </si>
  <si>
    <r>
      <t>s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 xml:space="preserve">(b) </t>
    </r>
    <r>
      <rPr>
        <sz val="12"/>
        <rFont val="UniversalMath1 BT"/>
        <family val="1"/>
      </rPr>
      <t xml:space="preserve">. a . E . 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</t>
    </r>
    <r>
      <rPr>
        <sz val="12"/>
        <rFont val="UniversalMath1 BT"/>
        <family val="1"/>
      </rPr>
      <t>. D</t>
    </r>
    <r>
      <rPr>
        <sz val="12"/>
        <rFont val="Times New Roman"/>
        <family val="1"/>
      </rPr>
      <t xml:space="preserve">t / (2 </t>
    </r>
    <r>
      <rPr>
        <sz val="12"/>
        <rFont val="UniversalMath1 BT"/>
        <family val="1"/>
      </rPr>
      <t xml:space="preserve">. </t>
    </r>
    <r>
      <rPr>
        <sz val="12"/>
        <rFont val="Times New Roman"/>
        <family val="1"/>
      </rPr>
      <t>l)</t>
    </r>
  </si>
  <si>
    <r>
      <t>s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 xml:space="preserve">(c) </t>
    </r>
    <r>
      <rPr>
        <sz val="12"/>
        <rFont val="UniversalMath1 BT"/>
        <family val="1"/>
      </rPr>
      <t xml:space="preserve">. a . E . 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</t>
    </r>
    <r>
      <rPr>
        <sz val="12"/>
        <rFont val="UniversalMath1 BT"/>
        <family val="1"/>
      </rPr>
      <t>. D</t>
    </r>
    <r>
      <rPr>
        <sz val="12"/>
        <rFont val="Times New Roman"/>
        <family val="1"/>
      </rPr>
      <t xml:space="preserve">t / (2 </t>
    </r>
    <r>
      <rPr>
        <sz val="12"/>
        <rFont val="UniversalMath1 BT"/>
        <family val="1"/>
      </rPr>
      <t xml:space="preserve">. </t>
    </r>
    <r>
      <rPr>
        <sz val="12"/>
        <rFont val="Times New Roman"/>
        <family val="1"/>
      </rPr>
      <t>l)</t>
    </r>
  </si>
  <si>
    <r>
      <t>s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 xml:space="preserve">(d) </t>
    </r>
    <r>
      <rPr>
        <sz val="12"/>
        <rFont val="UniversalMath1 BT"/>
        <family val="1"/>
      </rPr>
      <t xml:space="preserve">. a . E . 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</t>
    </r>
    <r>
      <rPr>
        <sz val="12"/>
        <rFont val="UniversalMath1 BT"/>
        <family val="1"/>
      </rPr>
      <t>. D</t>
    </r>
    <r>
      <rPr>
        <sz val="12"/>
        <rFont val="Times New Roman"/>
        <family val="1"/>
      </rPr>
      <t xml:space="preserve">t / (2 </t>
    </r>
    <r>
      <rPr>
        <sz val="12"/>
        <rFont val="UniversalMath1 BT"/>
        <family val="1"/>
      </rPr>
      <t xml:space="preserve">. </t>
    </r>
    <r>
      <rPr>
        <sz val="12"/>
        <rFont val="Times New Roman"/>
        <family val="1"/>
      </rPr>
      <t>l)</t>
    </r>
  </si>
  <si>
    <r>
      <t>P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A </t>
    </r>
    <r>
      <rPr>
        <sz val="12"/>
        <rFont val="UniversalMath1 BT"/>
        <family val="1"/>
      </rPr>
      <t xml:space="preserve">. a . </t>
    </r>
    <r>
      <rPr>
        <sz val="12"/>
        <rFont val="Times New Roman"/>
        <family val="1"/>
      </rPr>
      <t xml:space="preserve">E </t>
    </r>
    <r>
      <rPr>
        <sz val="12"/>
        <rFont val="UniversalMath1 BT"/>
        <family val="1"/>
      </rPr>
      <t>. I. D</t>
    </r>
    <r>
      <rPr>
        <sz val="12"/>
        <rFont val="Times New Roman"/>
        <family val="1"/>
      </rPr>
      <t>t / l</t>
    </r>
    <r>
      <rPr>
        <vertAlign val="superscript"/>
        <sz val="12"/>
        <rFont val="Times New Roman"/>
        <family val="1"/>
      </rPr>
      <t>2</t>
    </r>
  </si>
  <si>
    <r>
      <t>P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, Н</t>
    </r>
  </si>
  <si>
    <r>
      <t>P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, Н</t>
    </r>
  </si>
  <si>
    <t>Марка стали</t>
  </si>
  <si>
    <t>Ст2кп</t>
  </si>
  <si>
    <t>Ст3кп</t>
  </si>
  <si>
    <t>Расчетный ресурс, ч</t>
  </si>
  <si>
    <t>Ст2сп, Ст2пс</t>
  </si>
  <si>
    <t>Ст3сп, Ст3пс</t>
  </si>
  <si>
    <t>Ст4пс, Ст4сп</t>
  </si>
  <si>
    <t>С3Гпс</t>
  </si>
  <si>
    <t>22К</t>
  </si>
  <si>
    <t>14ГНМА</t>
  </si>
  <si>
    <t>16ГНМ, 16ГНМА</t>
  </si>
  <si>
    <t>От 20</t>
  </si>
  <si>
    <t>до 50</t>
  </si>
  <si>
    <t>08, 10, 12К</t>
  </si>
  <si>
    <t>15, 15К, 16К</t>
  </si>
  <si>
    <t>20, 20К, 18К</t>
  </si>
  <si>
    <t>до 100</t>
  </si>
  <si>
    <t>16ГС, 09Г2С</t>
  </si>
  <si>
    <t>10Г2С1, 17ГС, 17Г1С, 17Г1СУ</t>
  </si>
  <si>
    <t>15ГС</t>
  </si>
  <si>
    <t>12ХМ, 12МХ</t>
  </si>
  <si>
    <t>15ХМ</t>
  </si>
  <si>
    <t>до 150</t>
  </si>
  <si>
    <r>
      <t>Номинальные допускаемые напряжения [</t>
    </r>
    <r>
      <rPr>
        <b/>
        <sz val="12"/>
        <rFont val="UniversalMath1 BT"/>
        <family val="1"/>
      </rPr>
      <t>s</t>
    </r>
    <r>
      <rPr>
        <b/>
        <sz val="12"/>
        <rFont val="Times New Roman"/>
        <family val="0"/>
      </rPr>
      <t>] для теплоустойчивой стали, МПа</t>
    </r>
  </si>
  <si>
    <t>12Х1МФ</t>
  </si>
  <si>
    <t>12Х2МФСР</t>
  </si>
  <si>
    <t>15Х1 М1Ф</t>
  </si>
  <si>
    <t>12Х11В2МФ</t>
  </si>
  <si>
    <t>12Х18Н12Т; 12Х18Н10Т</t>
  </si>
  <si>
    <t>09Х14Н19В2БР, 09Х16Н14В2БР, 10Х16Н16В2МБР</t>
  </si>
  <si>
    <r>
      <t>Номинальные допускаемые напряжения [</t>
    </r>
    <r>
      <rPr>
        <b/>
        <sz val="12"/>
        <rFont val="UniversalMath1 BT"/>
        <family val="1"/>
      </rPr>
      <t>s</t>
    </r>
    <r>
      <rPr>
        <b/>
        <sz val="12"/>
        <rFont val="Times New Roman"/>
        <family val="0"/>
      </rPr>
      <t>] для для высокохромистой и аустенитной сталей, МПа</t>
    </r>
  </si>
  <si>
    <t>От 20 до 150</t>
  </si>
  <si>
    <r>
      <t>Номинальные допускаемые напряжения [</t>
    </r>
    <r>
      <rPr>
        <b/>
        <sz val="12"/>
        <rFont val="UniversalMath1 BT"/>
        <family val="1"/>
      </rPr>
      <t>s</t>
    </r>
    <r>
      <rPr>
        <b/>
        <sz val="12"/>
        <rFont val="Times New Roman"/>
        <family val="0"/>
      </rPr>
      <t>] для стали 10Х9МФБ, МПа</t>
    </r>
  </si>
  <si>
    <t>20-100</t>
  </si>
  <si>
    <r>
      <t>Номинальные допускаемые напряжения [</t>
    </r>
    <r>
      <rPr>
        <b/>
        <sz val="12"/>
        <rFont val="UniversalMath1 BT"/>
        <family val="1"/>
      </rPr>
      <t>s</t>
    </r>
    <r>
      <rPr>
        <b/>
        <sz val="12"/>
        <rFont val="Times New Roman"/>
        <family val="0"/>
      </rPr>
      <t>] для стали 2 1/4 Сr1Мо (10СrМо910), МПа</t>
    </r>
  </si>
  <si>
    <t>w</t>
  </si>
  <si>
    <t>коэффициент прочности сварного шва</t>
  </si>
  <si>
    <t>при ручной сварке с подваркой со стороны вершины шва</t>
  </si>
  <si>
    <t>при ручной односторонней сварке</t>
  </si>
  <si>
    <t>при автоматической сварке под слоем флюса с двусторонним проваром</t>
  </si>
  <si>
    <t>при ручной односторонней сварке с подкладкой со стороны вершины шва</t>
  </si>
  <si>
    <t>Конструкция шва и способ сварки</t>
  </si>
  <si>
    <t>Коэфф.</t>
  </si>
  <si>
    <t>Коэффициент почности сварного шва</t>
  </si>
  <si>
    <r>
      <t>[</t>
    </r>
    <r>
      <rPr>
        <sz val="12"/>
        <rFont val="UniversalMath1 BT"/>
        <family val="1"/>
      </rPr>
      <t>s</t>
    </r>
    <r>
      <rPr>
        <sz val="12"/>
        <rFont val="Times New Roman"/>
        <family val="1"/>
      </rPr>
      <t>], МПа</t>
    </r>
  </si>
  <si>
    <r>
      <t>s</t>
    </r>
    <r>
      <rPr>
        <vertAlign val="subscript"/>
        <sz val="12"/>
        <rFont val="Times New Roman"/>
        <family val="1"/>
      </rPr>
      <t>доп</t>
    </r>
    <r>
      <rPr>
        <sz val="12"/>
        <rFont val="Times New Roman"/>
        <family val="1"/>
      </rPr>
      <t xml:space="preserve"> = </t>
    </r>
    <r>
      <rPr>
        <sz val="12"/>
        <rFont val="UniversalMath1 BT"/>
        <family val="1"/>
      </rPr>
      <t>w .</t>
    </r>
    <r>
      <rPr>
        <sz val="12"/>
        <rFont val="Times New Roman"/>
        <family val="1"/>
      </rPr>
      <t xml:space="preserve"> [</t>
    </r>
    <r>
      <rPr>
        <sz val="12"/>
        <rFont val="UniversalMath1 BT"/>
        <family val="1"/>
      </rPr>
      <t>s</t>
    </r>
    <r>
      <rPr>
        <sz val="12"/>
        <rFont val="Times New Roman"/>
        <family val="1"/>
      </rPr>
      <t>]</t>
    </r>
  </si>
  <si>
    <t>номинальные допускаемые напряжения</t>
  </si>
  <si>
    <r>
      <t>a</t>
    </r>
    <r>
      <rPr>
        <sz val="12"/>
        <rFont val="Times New Roman"/>
        <family val="0"/>
      </rPr>
      <t>, мм/(м</t>
    </r>
    <r>
      <rPr>
        <sz val="12"/>
        <rFont val="UniversalMath1 BT"/>
        <family val="1"/>
      </rPr>
      <t>.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0"/>
      </rPr>
      <t>С)</t>
    </r>
  </si>
  <si>
    <t>Таблица 1 - Исходные данные для гидравлического расчета</t>
  </si>
  <si>
    <t>№ участка</t>
  </si>
  <si>
    <t>Харак-ка трубы</t>
  </si>
  <si>
    <t>Длина участка, м</t>
  </si>
  <si>
    <t>Потери давления</t>
  </si>
  <si>
    <t>Основное направление</t>
  </si>
  <si>
    <t>133х4,0</t>
  </si>
  <si>
    <t>УТ-1 : УТ-2</t>
  </si>
  <si>
    <t>УТ-2 : УТ-3</t>
  </si>
  <si>
    <t>108х4,0</t>
  </si>
  <si>
    <t>57х3,0</t>
  </si>
  <si>
    <t>Итого (по 2 трубам):</t>
  </si>
  <si>
    <t>89х4,0</t>
  </si>
  <si>
    <t>Ответвления к зданиям</t>
  </si>
  <si>
    <t>38х2,5</t>
  </si>
  <si>
    <t>76х3,0</t>
  </si>
  <si>
    <t>УТ-5 : зд.5</t>
  </si>
  <si>
    <t>Трубы</t>
  </si>
  <si>
    <t>стальные</t>
  </si>
  <si>
    <t>электро-</t>
  </si>
  <si>
    <t>40х2,5</t>
  </si>
  <si>
    <t>сварные</t>
  </si>
  <si>
    <t>(ГОСТ</t>
  </si>
  <si>
    <t>10704-91)</t>
  </si>
  <si>
    <t>159х4,5</t>
  </si>
  <si>
    <t>194х5,0</t>
  </si>
  <si>
    <t>219х6,0</t>
  </si>
  <si>
    <t>273х7,0</t>
  </si>
  <si>
    <t>325х8,0</t>
  </si>
  <si>
    <t>377х9,0</t>
  </si>
  <si>
    <t>426х9,0</t>
  </si>
  <si>
    <t>426х6,0</t>
  </si>
  <si>
    <t>480х7,0</t>
  </si>
  <si>
    <t>530х8,0</t>
  </si>
  <si>
    <t>630х9,0</t>
  </si>
  <si>
    <t>720х10,0</t>
  </si>
  <si>
    <t>820х10,0</t>
  </si>
  <si>
    <t>920х11,0</t>
  </si>
  <si>
    <t>1020х12,0</t>
  </si>
  <si>
    <t>1120х12,0</t>
  </si>
  <si>
    <t>1220х14,0</t>
  </si>
  <si>
    <t>1420х14,0</t>
  </si>
  <si>
    <r>
      <t xml:space="preserve">Температура воды в подающем трубопроводе,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, 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>С</t>
    </r>
  </si>
  <si>
    <r>
      <t xml:space="preserve">Температура воды в обратном трубопроводе,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>С</t>
    </r>
  </si>
  <si>
    <r>
      <t xml:space="preserve">Средняя температура воды,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ср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>С</t>
    </r>
  </si>
  <si>
    <r>
      <t xml:space="preserve">Кинематическая вязкость, </t>
    </r>
    <r>
      <rPr>
        <b/>
        <sz val="12"/>
        <rFont val="Times New Roman"/>
        <family val="1"/>
      </rPr>
      <t>v</t>
    </r>
    <r>
      <rPr>
        <b/>
        <sz val="12"/>
        <rFont val="UniversalMath1 BT"/>
        <family val="1"/>
      </rPr>
      <t>.</t>
    </r>
    <r>
      <rPr>
        <b/>
        <sz val="12"/>
        <rFont val="Times New Roman"/>
        <family val="1"/>
      </rPr>
      <t>10</t>
    </r>
    <r>
      <rPr>
        <b/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/с</t>
    </r>
  </si>
  <si>
    <r>
      <t xml:space="preserve">Плотность воды, </t>
    </r>
    <r>
      <rPr>
        <b/>
        <sz val="12"/>
        <rFont val="UniversalMath1 BT"/>
        <family val="1"/>
      </rPr>
      <t>r</t>
    </r>
    <r>
      <rPr>
        <sz val="12"/>
        <rFont val="Times New Roman"/>
        <family val="1"/>
      </rPr>
      <t>, кг/м</t>
    </r>
    <r>
      <rPr>
        <vertAlign val="superscript"/>
        <sz val="12"/>
        <rFont val="Times New Roman"/>
        <family val="1"/>
      </rPr>
      <t>3</t>
    </r>
  </si>
  <si>
    <r>
      <t xml:space="preserve">Коэффициент эквивалентной шероховатости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э</t>
    </r>
    <r>
      <rPr>
        <sz val="12"/>
        <rFont val="Times New Roman"/>
        <family val="1"/>
      </rPr>
      <t>, мм</t>
    </r>
  </si>
  <si>
    <r>
      <t xml:space="preserve">Скорость движения воды на участке </t>
    </r>
    <r>
      <rPr>
        <b/>
        <sz val="12"/>
        <rFont val="Times New Roman"/>
        <family val="1"/>
      </rPr>
      <t>v</t>
    </r>
    <r>
      <rPr>
        <sz val="12"/>
        <rFont val="Times New Roman"/>
        <family val="1"/>
      </rPr>
      <t>, м/с</t>
    </r>
  </si>
  <si>
    <r>
      <t xml:space="preserve">Суммарные потери давления от точки подключения </t>
    </r>
    <r>
      <rPr>
        <b/>
        <sz val="12"/>
        <rFont val="UniversalMath1 BT"/>
        <family val="1"/>
      </rPr>
      <t>D</t>
    </r>
    <r>
      <rPr>
        <b/>
        <sz val="12"/>
        <rFont val="Times New Roman"/>
        <family val="1"/>
      </rPr>
      <t>h</t>
    </r>
    <r>
      <rPr>
        <sz val="12"/>
        <rFont val="Times New Roman"/>
        <family val="1"/>
      </rPr>
      <t>, м в.с.</t>
    </r>
  </si>
  <si>
    <r>
      <t xml:space="preserve">Диаметр наружный и толщина стенки, </t>
    </r>
    <r>
      <rPr>
        <b/>
        <sz val="12"/>
        <rFont val="Times New Roman"/>
        <family val="1"/>
      </rPr>
      <t>D</t>
    </r>
    <r>
      <rPr>
        <b/>
        <vertAlign val="subscript"/>
        <sz val="12"/>
        <rFont val="Times New Roman"/>
        <family val="1"/>
      </rPr>
      <t>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x </t>
    </r>
    <r>
      <rPr>
        <b/>
        <sz val="12"/>
        <rFont val="Times New Roman"/>
        <family val="1"/>
      </rPr>
      <t>s</t>
    </r>
    <r>
      <rPr>
        <sz val="12"/>
        <rFont val="Times New Roman"/>
        <family val="1"/>
      </rPr>
      <t>, мм</t>
    </r>
  </si>
  <si>
    <r>
      <t xml:space="preserve">Диаметр условного прохода, </t>
    </r>
    <r>
      <rPr>
        <b/>
        <sz val="12"/>
        <rFont val="Times New Roman"/>
        <family val="1"/>
      </rPr>
      <t>d</t>
    </r>
    <r>
      <rPr>
        <b/>
        <vertAlign val="subscript"/>
        <sz val="12"/>
        <rFont val="Times New Roman"/>
        <family val="1"/>
      </rPr>
      <t>у</t>
    </r>
    <r>
      <rPr>
        <sz val="12"/>
        <rFont val="Times New Roman"/>
        <family val="1"/>
      </rPr>
      <t>, мм</t>
    </r>
  </si>
  <si>
    <r>
      <t xml:space="preserve">по плану, </t>
    </r>
    <r>
      <rPr>
        <b/>
        <i/>
        <sz val="12"/>
        <rFont val="Times New Roman"/>
        <family val="1"/>
      </rPr>
      <t>l</t>
    </r>
  </si>
  <si>
    <r>
      <t xml:space="preserve">эквивалентная местным сопротивлениям, </t>
    </r>
    <r>
      <rPr>
        <b/>
        <i/>
        <sz val="12"/>
        <rFont val="Times New Roman"/>
        <family val="1"/>
      </rPr>
      <t>l</t>
    </r>
    <r>
      <rPr>
        <b/>
        <i/>
        <vertAlign val="subscript"/>
        <sz val="12"/>
        <rFont val="Times New Roman"/>
        <family val="1"/>
      </rPr>
      <t>э</t>
    </r>
  </si>
  <si>
    <r>
      <t xml:space="preserve">приведенная, </t>
    </r>
    <r>
      <rPr>
        <b/>
        <i/>
        <sz val="12"/>
        <rFont val="Times New Roman"/>
        <family val="1"/>
      </rPr>
      <t>l</t>
    </r>
    <r>
      <rPr>
        <b/>
        <i/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 xml:space="preserve"> = </t>
    </r>
    <r>
      <rPr>
        <i/>
        <sz val="12"/>
        <rFont val="Times New Roman"/>
        <family val="1"/>
      </rPr>
      <t>l</t>
    </r>
    <r>
      <rPr>
        <sz val="12"/>
        <rFont val="Times New Roman"/>
        <family val="1"/>
      </rPr>
      <t>+</t>
    </r>
    <r>
      <rPr>
        <i/>
        <sz val="12"/>
        <rFont val="Times New Roman"/>
        <family val="1"/>
      </rPr>
      <t>l</t>
    </r>
    <r>
      <rPr>
        <i/>
        <vertAlign val="subscript"/>
        <sz val="12"/>
        <rFont val="Times New Roman"/>
        <family val="1"/>
      </rPr>
      <t>э</t>
    </r>
  </si>
  <si>
    <r>
      <t xml:space="preserve">удельные на трение </t>
    </r>
    <r>
      <rPr>
        <b/>
        <sz val="12"/>
        <rFont val="Times New Roman"/>
        <family val="1"/>
      </rPr>
      <t>R</t>
    </r>
    <r>
      <rPr>
        <sz val="12"/>
        <rFont val="Times New Roman"/>
        <family val="1"/>
      </rPr>
      <t>, Па/м</t>
    </r>
  </si>
  <si>
    <r>
      <t xml:space="preserve">на участке </t>
    </r>
    <r>
      <rPr>
        <b/>
        <sz val="12"/>
        <rFont val="Times New Roman"/>
        <family val="1"/>
      </rPr>
      <t>R</t>
    </r>
    <r>
      <rPr>
        <b/>
        <i/>
        <sz val="12"/>
        <rFont val="Times New Roman"/>
        <family val="1"/>
      </rPr>
      <t>l</t>
    </r>
    <r>
      <rPr>
        <b/>
        <i/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, Па</t>
    </r>
  </si>
  <si>
    <r>
      <t xml:space="preserve">Диаметр внутренний, </t>
    </r>
    <r>
      <rPr>
        <b/>
        <sz val="12"/>
        <rFont val="Times New Roman"/>
        <family val="1"/>
      </rPr>
      <t>d</t>
    </r>
    <r>
      <rPr>
        <b/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>, мм</t>
    </r>
  </si>
  <si>
    <r>
      <t>n = l</t>
    </r>
    <r>
      <rPr>
        <vertAlign val="subscript"/>
        <sz val="12"/>
        <rFont val="Times New Roman"/>
        <family val="1"/>
      </rPr>
      <t>б</t>
    </r>
    <r>
      <rPr>
        <sz val="12"/>
        <rFont val="Times New Roman"/>
        <family val="0"/>
      </rPr>
      <t>/l</t>
    </r>
    <r>
      <rPr>
        <vertAlign val="subscript"/>
        <sz val="12"/>
        <rFont val="Times New Roman"/>
        <family val="1"/>
      </rPr>
      <t>м</t>
    </r>
  </si>
  <si>
    <r>
      <t>a</t>
    </r>
    <r>
      <rPr>
        <sz val="12"/>
        <rFont val="Times New Roman"/>
        <family val="0"/>
      </rPr>
      <t>, 1/(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0"/>
      </rPr>
      <t>С)</t>
    </r>
  </si>
  <si>
    <t>C</t>
  </si>
  <si>
    <t>A'</t>
  </si>
  <si>
    <t>B'</t>
  </si>
  <si>
    <t>длина большего плеча</t>
  </si>
  <si>
    <t>длина меньшего плеча</t>
  </si>
  <si>
    <t>отношение длины большего плеча к длине меньшего</t>
  </si>
  <si>
    <r>
      <t>n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(n + 1)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cos</t>
    </r>
    <r>
      <rPr>
        <sz val="12"/>
        <rFont val="UniversalMath1 BT"/>
        <family val="1"/>
      </rPr>
      <t>b</t>
    </r>
  </si>
  <si>
    <r>
      <t>n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(1 + n)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cos</t>
    </r>
    <r>
      <rPr>
        <vertAlign val="superscript"/>
        <sz val="12"/>
        <rFont val="Times New Roman"/>
        <family val="1"/>
      </rPr>
      <t>2</t>
    </r>
    <r>
      <rPr>
        <sz val="12"/>
        <rFont val="UniversalMath1 BT"/>
        <family val="1"/>
      </rPr>
      <t>b</t>
    </r>
  </si>
  <si>
    <r>
      <t>n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(1 + n)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cos</t>
    </r>
    <r>
      <rPr>
        <sz val="12"/>
        <rFont val="UniversalMath1 BT"/>
        <family val="1"/>
      </rPr>
      <t>b</t>
    </r>
  </si>
  <si>
    <r>
      <t>n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(1 + n)</t>
    </r>
    <r>
      <rPr>
        <sz val="12"/>
        <rFont val="UniversalMath1 BT"/>
        <family val="1"/>
      </rPr>
      <t>.</t>
    </r>
    <r>
      <rPr>
        <sz val="12"/>
        <rFont val="Times New Roman"/>
        <family val="1"/>
      </rPr>
      <t>cos</t>
    </r>
    <r>
      <rPr>
        <sz val="12"/>
        <rFont val="UniversalMath1 BT"/>
        <family val="1"/>
      </rPr>
      <t>b</t>
    </r>
  </si>
  <si>
    <t>1,5(n + 3)</t>
  </si>
  <si>
    <r>
      <t>+   tg</t>
    </r>
    <r>
      <rPr>
        <sz val="12"/>
        <rFont val="UniversalMath1 BT"/>
        <family val="1"/>
      </rPr>
      <t>b</t>
    </r>
  </si>
  <si>
    <t>(n + 1)</t>
  </si>
  <si>
    <r>
      <t>1,5(n</t>
    </r>
    <r>
      <rPr>
        <u val="single"/>
        <vertAlign val="superscript"/>
        <sz val="12"/>
        <rFont val="Times New Roman"/>
        <family val="1"/>
      </rPr>
      <t>3</t>
    </r>
    <r>
      <rPr>
        <u val="single"/>
        <sz val="12"/>
        <rFont val="Times New Roman"/>
        <family val="1"/>
      </rPr>
      <t xml:space="preserve"> + 2n</t>
    </r>
    <r>
      <rPr>
        <u val="single"/>
        <vertAlign val="superscript"/>
        <sz val="12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+ 1)</t>
    </r>
  </si>
  <si>
    <r>
      <t>3[(3n</t>
    </r>
    <r>
      <rPr>
        <u val="single"/>
        <vertAlign val="superscript"/>
        <sz val="9.5"/>
        <rFont val="Times New Roman"/>
        <family val="1"/>
      </rPr>
      <t>3</t>
    </r>
    <r>
      <rPr>
        <u val="single"/>
        <sz val="9.5"/>
        <rFont val="Times New Roman"/>
        <family val="1"/>
      </rPr>
      <t>+4n+1)+n</t>
    </r>
    <r>
      <rPr>
        <u val="single"/>
        <vertAlign val="superscript"/>
        <sz val="9.5"/>
        <rFont val="Times New Roman"/>
        <family val="1"/>
      </rPr>
      <t>2</t>
    </r>
    <r>
      <rPr>
        <u val="single"/>
        <sz val="9.5"/>
        <rFont val="Times New Roman"/>
        <family val="1"/>
      </rPr>
      <t>sin</t>
    </r>
    <r>
      <rPr>
        <u val="single"/>
        <vertAlign val="superscript"/>
        <sz val="9.5"/>
        <rFont val="Times New Roman"/>
        <family val="1"/>
      </rPr>
      <t>2</t>
    </r>
    <r>
      <rPr>
        <u val="single"/>
        <sz val="9.5"/>
        <rFont val="UniversalMath1 BT"/>
        <family val="1"/>
      </rPr>
      <t>b</t>
    </r>
    <r>
      <rPr>
        <u val="single"/>
        <sz val="9.5"/>
        <rFont val="Times New Roman"/>
        <family val="1"/>
      </rPr>
      <t>(n</t>
    </r>
    <r>
      <rPr>
        <u val="single"/>
        <vertAlign val="superscript"/>
        <sz val="9.5"/>
        <rFont val="Times New Roman"/>
        <family val="1"/>
      </rPr>
      <t>2</t>
    </r>
    <r>
      <rPr>
        <u val="single"/>
        <sz val="9.5"/>
        <rFont val="Times New Roman"/>
        <family val="1"/>
      </rPr>
      <t>+7n)+n</t>
    </r>
    <r>
      <rPr>
        <u val="single"/>
        <sz val="9.5"/>
        <rFont val="UniversalMath1 BT"/>
        <family val="1"/>
      </rPr>
      <t>.</t>
    </r>
    <r>
      <rPr>
        <u val="single"/>
        <sz val="9.5"/>
        <rFont val="Times New Roman"/>
        <family val="1"/>
      </rPr>
      <t>sin</t>
    </r>
    <r>
      <rPr>
        <u val="single"/>
        <sz val="9.5"/>
        <rFont val="UniversalMath1 BT"/>
        <family val="1"/>
      </rPr>
      <t>b</t>
    </r>
    <r>
      <rPr>
        <u val="single"/>
        <sz val="9.5"/>
        <rFont val="Times New Roman"/>
        <family val="1"/>
      </rPr>
      <t>(n</t>
    </r>
    <r>
      <rPr>
        <u val="single"/>
        <vertAlign val="superscript"/>
        <sz val="9.5"/>
        <rFont val="Times New Roman"/>
        <family val="1"/>
      </rPr>
      <t>4</t>
    </r>
    <r>
      <rPr>
        <u val="single"/>
        <sz val="9.5"/>
        <rFont val="Times New Roman"/>
        <family val="1"/>
      </rPr>
      <t>+4n</t>
    </r>
    <r>
      <rPr>
        <u val="single"/>
        <vertAlign val="superscript"/>
        <sz val="9.5"/>
        <rFont val="Times New Roman"/>
        <family val="1"/>
      </rPr>
      <t>3</t>
    </r>
    <r>
      <rPr>
        <u val="single"/>
        <sz val="9.5"/>
        <rFont val="Times New Roman"/>
        <family val="1"/>
      </rPr>
      <t>+10n+1)]</t>
    </r>
  </si>
  <si>
    <r>
      <t>3[n</t>
    </r>
    <r>
      <rPr>
        <u val="single"/>
        <vertAlign val="superscript"/>
        <sz val="9.8"/>
        <rFont val="Times New Roman"/>
        <family val="1"/>
      </rPr>
      <t>2</t>
    </r>
    <r>
      <rPr>
        <u val="single"/>
        <sz val="9.8"/>
        <rFont val="Times New Roman"/>
        <family val="1"/>
      </rPr>
      <t>(n</t>
    </r>
    <r>
      <rPr>
        <u val="single"/>
        <vertAlign val="superscript"/>
        <sz val="9.8"/>
        <rFont val="Times New Roman"/>
        <family val="1"/>
      </rPr>
      <t>3</t>
    </r>
    <r>
      <rPr>
        <u val="single"/>
        <sz val="9.8"/>
        <rFont val="Times New Roman"/>
        <family val="1"/>
      </rPr>
      <t>+4n</t>
    </r>
    <r>
      <rPr>
        <u val="single"/>
        <vertAlign val="superscript"/>
        <sz val="9.8"/>
        <rFont val="Times New Roman"/>
        <family val="1"/>
      </rPr>
      <t>2</t>
    </r>
    <r>
      <rPr>
        <u val="single"/>
        <sz val="9.8"/>
        <rFont val="Times New Roman"/>
        <family val="1"/>
      </rPr>
      <t>+3)+sin</t>
    </r>
    <r>
      <rPr>
        <u val="single"/>
        <vertAlign val="superscript"/>
        <sz val="9.8"/>
        <rFont val="Times New Roman"/>
        <family val="1"/>
      </rPr>
      <t>2</t>
    </r>
    <r>
      <rPr>
        <u val="single"/>
        <sz val="9.8"/>
        <rFont val="UniversalMath1 BT"/>
        <family val="1"/>
      </rPr>
      <t>b</t>
    </r>
    <r>
      <rPr>
        <u val="single"/>
        <sz val="9.8"/>
        <rFont val="Times New Roman"/>
        <family val="1"/>
      </rPr>
      <t>(7n</t>
    </r>
    <r>
      <rPr>
        <u val="single"/>
        <vertAlign val="superscript"/>
        <sz val="9.8"/>
        <rFont val="Times New Roman"/>
        <family val="1"/>
      </rPr>
      <t>2</t>
    </r>
    <r>
      <rPr>
        <u val="single"/>
        <sz val="9.8"/>
        <rFont val="Times New Roman"/>
        <family val="1"/>
      </rPr>
      <t>+n)+sin</t>
    </r>
    <r>
      <rPr>
        <u val="single"/>
        <sz val="9.8"/>
        <rFont val="UniversalMath1 BT"/>
        <family val="1"/>
      </rPr>
      <t>b</t>
    </r>
    <r>
      <rPr>
        <u val="single"/>
        <sz val="9.8"/>
        <rFont val="Times New Roman"/>
        <family val="1"/>
      </rPr>
      <t>(n</t>
    </r>
    <r>
      <rPr>
        <u val="single"/>
        <vertAlign val="superscript"/>
        <sz val="9.8"/>
        <rFont val="Times New Roman"/>
        <family val="1"/>
      </rPr>
      <t>4</t>
    </r>
    <r>
      <rPr>
        <u val="single"/>
        <sz val="9.8"/>
        <rFont val="Times New Roman"/>
        <family val="1"/>
      </rPr>
      <t>+10n</t>
    </r>
    <r>
      <rPr>
        <u val="single"/>
        <vertAlign val="superscript"/>
        <sz val="9.8"/>
        <rFont val="Times New Roman"/>
        <family val="1"/>
      </rPr>
      <t>3</t>
    </r>
    <r>
      <rPr>
        <u val="single"/>
        <sz val="9.8"/>
        <rFont val="Times New Roman"/>
        <family val="1"/>
      </rPr>
      <t>+4n+1)]</t>
    </r>
  </si>
  <si>
    <r>
      <t>s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UniversalMath1 BT"/>
        <family val="1"/>
      </rPr>
      <t xml:space="preserve">. a . E . 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</t>
    </r>
    <r>
      <rPr>
        <sz val="12"/>
        <rFont val="UniversalMath1 BT"/>
        <family val="1"/>
      </rPr>
      <t>. D</t>
    </r>
    <r>
      <rPr>
        <sz val="12"/>
        <rFont val="Times New Roman"/>
        <family val="1"/>
      </rPr>
      <t>t / (l</t>
    </r>
    <r>
      <rPr>
        <vertAlign val="subscript"/>
        <sz val="12"/>
        <rFont val="Times New Roman"/>
        <family val="1"/>
      </rPr>
      <t>м</t>
    </r>
    <r>
      <rPr>
        <sz val="12"/>
        <rFont val="Times New Roman"/>
        <family val="1"/>
      </rPr>
      <t>)</t>
    </r>
  </si>
  <si>
    <r>
      <t>P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A </t>
    </r>
    <r>
      <rPr>
        <sz val="12"/>
        <rFont val="UniversalMath1 BT"/>
        <family val="1"/>
      </rPr>
      <t xml:space="preserve">. a . </t>
    </r>
    <r>
      <rPr>
        <sz val="12"/>
        <rFont val="Times New Roman"/>
        <family val="1"/>
      </rPr>
      <t xml:space="preserve">E </t>
    </r>
    <r>
      <rPr>
        <sz val="12"/>
        <rFont val="UniversalMath1 BT"/>
        <family val="1"/>
      </rPr>
      <t>. I. D</t>
    </r>
    <r>
      <rPr>
        <sz val="12"/>
        <rFont val="Times New Roman"/>
        <family val="1"/>
      </rPr>
      <t>t / l</t>
    </r>
    <r>
      <rPr>
        <vertAlign val="subscript"/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</si>
  <si>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r>
      <t>3[(n</t>
    </r>
    <r>
      <rPr>
        <u val="single"/>
        <vertAlign val="superscript"/>
        <sz val="12"/>
        <rFont val="Times New Roman"/>
        <family val="1"/>
      </rPr>
      <t>3</t>
    </r>
    <r>
      <rPr>
        <u val="single"/>
        <sz val="12"/>
        <rFont val="Times New Roman"/>
        <family val="1"/>
      </rPr>
      <t xml:space="preserve"> + 4n</t>
    </r>
    <r>
      <rPr>
        <u val="single"/>
        <vertAlign val="superscript"/>
        <sz val="12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+ 3) + sin</t>
    </r>
    <r>
      <rPr>
        <u val="single"/>
        <sz val="12"/>
        <rFont val="UniversalMath1 BT"/>
        <family val="1"/>
      </rPr>
      <t>b</t>
    </r>
    <r>
      <rPr>
        <u val="single"/>
        <sz val="12"/>
        <rFont val="Times New Roman"/>
        <family val="1"/>
      </rPr>
      <t>(n</t>
    </r>
    <r>
      <rPr>
        <u val="single"/>
        <vertAlign val="superscript"/>
        <sz val="12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+ 7n)]</t>
    </r>
  </si>
  <si>
    <r>
      <t>3[(3n</t>
    </r>
    <r>
      <rPr>
        <u val="single"/>
        <vertAlign val="superscript"/>
        <sz val="12"/>
        <rFont val="Times New Roman"/>
        <family val="1"/>
      </rPr>
      <t>3</t>
    </r>
    <r>
      <rPr>
        <u val="single"/>
        <sz val="12"/>
        <rFont val="Times New Roman"/>
        <family val="1"/>
      </rPr>
      <t xml:space="preserve"> + 4n</t>
    </r>
    <r>
      <rPr>
        <u val="single"/>
        <vertAlign val="superscript"/>
        <sz val="12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+ 3) + sin</t>
    </r>
    <r>
      <rPr>
        <u val="single"/>
        <sz val="12"/>
        <rFont val="UniversalMath1 BT"/>
        <family val="1"/>
      </rPr>
      <t>b</t>
    </r>
    <r>
      <rPr>
        <u val="single"/>
        <sz val="12"/>
        <rFont val="Times New Roman"/>
        <family val="1"/>
      </rPr>
      <t>(7n</t>
    </r>
    <r>
      <rPr>
        <u val="single"/>
        <vertAlign val="superscript"/>
        <sz val="12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+ n)]</t>
    </r>
  </si>
  <si>
    <r>
      <t>P'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, Н</t>
    </r>
  </si>
  <si>
    <r>
      <t>P'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, Н</t>
    </r>
  </si>
  <si>
    <r>
      <t>P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= B </t>
    </r>
    <r>
      <rPr>
        <sz val="12"/>
        <rFont val="UniversalMath1 BT"/>
        <family val="1"/>
      </rPr>
      <t xml:space="preserve">. a . </t>
    </r>
    <r>
      <rPr>
        <sz val="12"/>
        <rFont val="Times New Roman"/>
        <family val="1"/>
      </rPr>
      <t xml:space="preserve">E </t>
    </r>
    <r>
      <rPr>
        <sz val="12"/>
        <rFont val="UniversalMath1 BT"/>
        <family val="1"/>
      </rPr>
      <t>. I. D</t>
    </r>
    <r>
      <rPr>
        <sz val="12"/>
        <rFont val="Times New Roman"/>
        <family val="1"/>
      </rPr>
      <t>t / l</t>
    </r>
    <r>
      <rPr>
        <vertAlign val="subscript"/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</si>
  <si>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r>
      <t>P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= B </t>
    </r>
    <r>
      <rPr>
        <sz val="12"/>
        <rFont val="UniversalMath1 BT"/>
        <family val="1"/>
      </rPr>
      <t xml:space="preserve">. a . </t>
    </r>
    <r>
      <rPr>
        <sz val="12"/>
        <rFont val="Times New Roman"/>
        <family val="1"/>
      </rPr>
      <t xml:space="preserve">E </t>
    </r>
    <r>
      <rPr>
        <sz val="12"/>
        <rFont val="UniversalMath1 BT"/>
        <family val="1"/>
      </rPr>
      <t>. I. D</t>
    </r>
    <r>
      <rPr>
        <sz val="12"/>
        <rFont val="Times New Roman"/>
        <family val="1"/>
      </rPr>
      <t>t / l</t>
    </r>
    <r>
      <rPr>
        <vertAlign val="superscript"/>
        <sz val="12"/>
        <rFont val="Times New Roman"/>
        <family val="1"/>
      </rPr>
      <t>2</t>
    </r>
  </si>
  <si>
    <r>
      <t>P'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A' </t>
    </r>
    <r>
      <rPr>
        <sz val="12"/>
        <rFont val="UniversalMath1 BT"/>
        <family val="1"/>
      </rPr>
      <t xml:space="preserve">. a . </t>
    </r>
    <r>
      <rPr>
        <sz val="12"/>
        <rFont val="Times New Roman"/>
        <family val="1"/>
      </rPr>
      <t xml:space="preserve">E </t>
    </r>
    <r>
      <rPr>
        <sz val="12"/>
        <rFont val="UniversalMath1 BT"/>
        <family val="1"/>
      </rPr>
      <t>. I. D</t>
    </r>
    <r>
      <rPr>
        <sz val="12"/>
        <rFont val="Times New Roman"/>
        <family val="1"/>
      </rPr>
      <t>t / l</t>
    </r>
    <r>
      <rPr>
        <vertAlign val="subscript"/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</si>
  <si>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r>
      <t>P'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= B' </t>
    </r>
    <r>
      <rPr>
        <sz val="12"/>
        <rFont val="UniversalMath1 BT"/>
        <family val="1"/>
      </rPr>
      <t xml:space="preserve">. a . </t>
    </r>
    <r>
      <rPr>
        <sz val="12"/>
        <rFont val="Times New Roman"/>
        <family val="1"/>
      </rPr>
      <t xml:space="preserve">E </t>
    </r>
    <r>
      <rPr>
        <sz val="12"/>
        <rFont val="UniversalMath1 BT"/>
        <family val="1"/>
      </rPr>
      <t>. I. D</t>
    </r>
    <r>
      <rPr>
        <sz val="12"/>
        <rFont val="Times New Roman"/>
        <family val="1"/>
      </rPr>
      <t>t / l</t>
    </r>
    <r>
      <rPr>
        <vertAlign val="subscript"/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</si>
  <si>
    <t>b</t>
  </si>
  <si>
    <r>
      <t>P'</t>
    </r>
    <r>
      <rPr>
        <vertAlign val="subscript"/>
        <sz val="12"/>
        <rFont val="Times New Roman"/>
        <family val="1"/>
      </rPr>
      <t>y</t>
    </r>
  </si>
  <si>
    <r>
      <t>P</t>
    </r>
    <r>
      <rPr>
        <vertAlign val="subscript"/>
        <sz val="12"/>
        <rFont val="Times New Roman"/>
        <family val="1"/>
      </rPr>
      <t>x</t>
    </r>
  </si>
  <si>
    <r>
      <t>P</t>
    </r>
    <r>
      <rPr>
        <vertAlign val="subscript"/>
        <sz val="12"/>
        <rFont val="Times New Roman"/>
        <family val="1"/>
      </rPr>
      <t>y</t>
    </r>
  </si>
  <si>
    <r>
      <t>l</t>
    </r>
    <r>
      <rPr>
        <vertAlign val="subscript"/>
        <sz val="12"/>
        <rFont val="Times New Roman"/>
        <family val="1"/>
      </rPr>
      <t>б</t>
    </r>
    <r>
      <rPr>
        <sz val="12"/>
        <rFont val="Times New Roman"/>
        <family val="0"/>
      </rPr>
      <t xml:space="preserve"> =</t>
    </r>
  </si>
  <si>
    <r>
      <t>l</t>
    </r>
    <r>
      <rPr>
        <vertAlign val="subscript"/>
        <sz val="12"/>
        <rFont val="Times New Roman"/>
        <family val="1"/>
      </rPr>
      <t>м</t>
    </r>
    <r>
      <rPr>
        <sz val="12"/>
        <rFont val="Times New Roman"/>
        <family val="0"/>
      </rPr>
      <t xml:space="preserve"> =</t>
    </r>
  </si>
  <si>
    <t>Схема расчетного участка</t>
  </si>
  <si>
    <t>l =</t>
  </si>
  <si>
    <t>УТ-11 : зд.4</t>
  </si>
  <si>
    <t>УТ-9 : зд.8,17</t>
  </si>
  <si>
    <t>УТ-9 : зд.9</t>
  </si>
  <si>
    <t>УТ-2 : зд.10,18</t>
  </si>
  <si>
    <t>УТ-3 : зд.11</t>
  </si>
  <si>
    <t>УТ-10 : зд.12</t>
  </si>
  <si>
    <r>
      <t xml:space="preserve">Тепловая нагрузка, </t>
    </r>
    <r>
      <rPr>
        <b/>
        <sz val="12"/>
        <rFont val="Times New Roman"/>
        <family val="1"/>
      </rPr>
      <t>Q</t>
    </r>
    <r>
      <rPr>
        <b/>
        <vertAlign val="subscript"/>
        <sz val="12"/>
        <rFont val="Times New Roman"/>
        <family val="1"/>
      </rPr>
      <t>уч</t>
    </r>
    <r>
      <rPr>
        <sz val="12"/>
        <rFont val="Times New Roman"/>
        <family val="1"/>
      </rPr>
      <t>, кВт</t>
    </r>
  </si>
  <si>
    <r>
      <t xml:space="preserve">Расход теплоносителя, </t>
    </r>
    <r>
      <rPr>
        <b/>
        <sz val="12"/>
        <rFont val="Times New Roman"/>
        <family val="1"/>
      </rPr>
      <t>G</t>
    </r>
    <r>
      <rPr>
        <sz val="12"/>
        <rFont val="Times New Roman"/>
        <family val="1"/>
      </rPr>
      <t>, т/ч</t>
    </r>
  </si>
  <si>
    <t>Котельная : УТ-1</t>
  </si>
  <si>
    <t>УТ-3 : УТ-4</t>
  </si>
  <si>
    <t>УТ-4 : УТ-5</t>
  </si>
  <si>
    <t>УТ-5 : УТ-6</t>
  </si>
  <si>
    <t>УТ-6 : УТ-7</t>
  </si>
  <si>
    <t>УТ-7 : УТ-8</t>
  </si>
  <si>
    <t>УТ-8 : зд.2</t>
  </si>
  <si>
    <t>УТ-4 : УТ-10</t>
  </si>
  <si>
    <t>УТ-10 : УТ-11</t>
  </si>
  <si>
    <t>УТ-14 : зд.6</t>
  </si>
  <si>
    <t>УТ-13 : зд.7,16</t>
  </si>
  <si>
    <t>УТ-13 : зд.3,15</t>
  </si>
  <si>
    <t>УТ-11 : УТ-12</t>
  </si>
  <si>
    <t>УТ-12 : УТ-13</t>
  </si>
  <si>
    <t>УТ-12 : УТ-14</t>
  </si>
  <si>
    <t>Второстепенное направление 1</t>
  </si>
  <si>
    <t>Второстепенное направление 2</t>
  </si>
  <si>
    <t>УТ-14 : зд.13</t>
  </si>
  <si>
    <t>Второстепенное направление 3</t>
  </si>
  <si>
    <t>УТ-1 : УТ-9</t>
  </si>
  <si>
    <t>32х2,5</t>
  </si>
  <si>
    <t>Ду, мм</t>
  </si>
  <si>
    <t>Компенсатор</t>
  </si>
  <si>
    <t>Сальниковый</t>
  </si>
  <si>
    <t>П-образный</t>
  </si>
  <si>
    <t>сальниковый</t>
  </si>
  <si>
    <t>Таблица 2 - Гидравлический расчет системы теплоснабжения</t>
  </si>
  <si>
    <t>Спутник для В1</t>
  </si>
  <si>
    <t>УТ-6 : зд.1</t>
  </si>
  <si>
    <t>УТ-7 : зд.1</t>
  </si>
  <si>
    <t>УТ-8 : зд.2,14</t>
  </si>
  <si>
    <r>
      <t xml:space="preserve">Номинальные допускаемые напряжения </t>
    </r>
    <r>
      <rPr>
        <b/>
        <sz val="12"/>
        <rFont val="Times New Roman"/>
        <family val="1"/>
      </rPr>
      <t>[</t>
    </r>
    <r>
      <rPr>
        <b/>
        <sz val="12"/>
        <rFont val="UniversalMath1 BT"/>
        <family val="1"/>
      </rPr>
      <t>s</t>
    </r>
    <r>
      <rPr>
        <b/>
        <sz val="12"/>
        <rFont val="Times New Roman"/>
        <family val="0"/>
      </rPr>
      <t>] для углеродистой и марганцовистой сталей, МПа</t>
    </r>
  </si>
  <si>
    <r>
      <t>t</t>
    </r>
    <r>
      <rPr>
        <sz val="12"/>
        <color indexed="8"/>
        <rFont val="Times New Roman"/>
        <family val="1"/>
      </rPr>
      <t xml:space="preserve">, °С </t>
    </r>
  </si>
  <si>
    <r>
      <t>1·10</t>
    </r>
    <r>
      <rPr>
        <vertAlign val="superscript"/>
        <sz val="12"/>
        <color indexed="8"/>
        <rFont val="Times New Roman"/>
        <family val="1"/>
      </rPr>
      <t>4</t>
    </r>
  </si>
  <si>
    <r>
      <t>1·10</t>
    </r>
    <r>
      <rPr>
        <vertAlign val="superscript"/>
        <sz val="12"/>
        <color indexed="8"/>
        <rFont val="Times New Roman"/>
        <family val="1"/>
      </rPr>
      <t>5</t>
    </r>
  </si>
  <si>
    <r>
      <t>2·10</t>
    </r>
    <r>
      <rPr>
        <vertAlign val="superscript"/>
        <sz val="12"/>
        <color indexed="8"/>
        <rFont val="Times New Roman"/>
        <family val="1"/>
      </rPr>
      <t>5</t>
    </r>
  </si>
  <si>
    <r>
      <t>3·10</t>
    </r>
    <r>
      <rPr>
        <vertAlign val="superscript"/>
        <sz val="12"/>
        <color indexed="8"/>
        <rFont val="Times New Roman"/>
        <family val="1"/>
      </rPr>
      <t>5</t>
    </r>
  </si>
  <si>
    <r>
      <t>t</t>
    </r>
    <r>
      <rPr>
        <sz val="12"/>
        <color indexed="8"/>
        <rFont val="Times New Roman"/>
        <family val="1"/>
      </rPr>
      <t>, °С</t>
    </r>
  </si>
  <si>
    <r>
      <t>Номинальные допускаемые напряжения [</t>
    </r>
    <r>
      <rPr>
        <b/>
        <sz val="12"/>
        <rFont val="UniversalMath1 BT"/>
        <family val="1"/>
      </rPr>
      <t>s</t>
    </r>
    <r>
      <rPr>
        <b/>
        <sz val="12"/>
        <rFont val="Times New Roman"/>
        <family val="0"/>
      </rPr>
      <t>] для углеродистой и марганцовистой сталей, не зависящие от расчетного ресурса, МПа</t>
    </r>
  </si>
  <si>
    <r>
      <t>[</t>
    </r>
    <r>
      <rPr>
        <i/>
        <sz val="12"/>
        <color indexed="8"/>
        <rFont val="Symbol"/>
        <family val="1"/>
      </rPr>
      <t>s</t>
    </r>
    <r>
      <rPr>
        <sz val="12"/>
        <color indexed="8"/>
        <rFont val="Times New Roman"/>
        <family val="1"/>
      </rPr>
      <t>] , МПа</t>
    </r>
  </si>
  <si>
    <t>Исходные данные</t>
  </si>
  <si>
    <t>марка стали</t>
  </si>
  <si>
    <t>сталь 20</t>
  </si>
  <si>
    <r>
      <t>σ</t>
    </r>
    <r>
      <rPr>
        <vertAlign val="subscript"/>
        <sz val="12"/>
        <rFont val="Times New Roman"/>
        <family val="1"/>
      </rPr>
      <t>вр</t>
    </r>
    <r>
      <rPr>
        <sz val="12"/>
        <rFont val="Times New Roman"/>
        <family val="0"/>
      </rPr>
      <t>, кГ/см</t>
    </r>
    <r>
      <rPr>
        <sz val="12"/>
        <rFont val="Times New Roman"/>
        <family val="1"/>
      </rPr>
      <t>²</t>
    </r>
  </si>
  <si>
    <r>
      <t>р</t>
    </r>
    <r>
      <rPr>
        <vertAlign val="subscript"/>
        <sz val="12"/>
        <rFont val="Times New Roman"/>
        <family val="1"/>
      </rPr>
      <t>о</t>
    </r>
    <r>
      <rPr>
        <sz val="12"/>
        <rFont val="Times New Roman"/>
        <family val="0"/>
      </rPr>
      <t>, кГ/см</t>
    </r>
    <r>
      <rPr>
        <sz val="12"/>
        <rFont val="Times New Roman"/>
        <family val="1"/>
      </rPr>
      <t>²</t>
    </r>
  </si>
  <si>
    <r>
      <t>D</t>
    </r>
    <r>
      <rPr>
        <sz val="12"/>
        <rFont val="Times New Roman"/>
        <family val="1"/>
      </rPr>
      <t>н</t>
    </r>
    <r>
      <rPr>
        <sz val="12"/>
        <rFont val="Times New Roman"/>
        <family val="0"/>
      </rPr>
      <t>, мм</t>
    </r>
  </si>
  <si>
    <t>тип труб</t>
  </si>
  <si>
    <t>бесшовные</t>
  </si>
  <si>
    <t>трубы</t>
  </si>
  <si>
    <t>разводящие</t>
  </si>
  <si>
    <r>
      <t>δ</t>
    </r>
    <r>
      <rPr>
        <sz val="12"/>
        <rFont val="Times New Roman"/>
        <family val="0"/>
      </rPr>
      <t xml:space="preserve"> =</t>
    </r>
  </si>
  <si>
    <r>
      <t>n·P</t>
    </r>
    <r>
      <rPr>
        <sz val="12"/>
        <rFont val="Times New Roman"/>
        <family val="1"/>
      </rPr>
      <t>o·</t>
    </r>
    <r>
      <rPr>
        <sz val="12"/>
        <rFont val="Times New Roman"/>
        <family val="0"/>
      </rPr>
      <t>D</t>
    </r>
    <r>
      <rPr>
        <sz val="12"/>
        <rFont val="Times New Roman"/>
        <family val="1"/>
      </rPr>
      <t>н</t>
    </r>
  </si>
  <si>
    <t>=</t>
  </si>
  <si>
    <r>
      <t>2·(R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+ n</t>
    </r>
    <r>
      <rPr>
        <sz val="12"/>
        <rFont val="Times New Roman"/>
        <family val="1"/>
      </rPr>
      <t>·Po</t>
    </r>
    <r>
      <rPr>
        <sz val="12"/>
        <rFont val="Times New Roman"/>
        <family val="0"/>
      </rPr>
      <t>)</t>
    </r>
  </si>
  <si>
    <r>
      <t>2·(0,9·R</t>
    </r>
    <r>
      <rPr>
        <vertAlign val="superscript"/>
        <sz val="12"/>
        <rFont val="Times New Roman"/>
        <family val="1"/>
      </rPr>
      <t>н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+ n</t>
    </r>
    <r>
      <rPr>
        <sz val="12"/>
        <rFont val="Times New Roman"/>
        <family val="1"/>
      </rPr>
      <t>·</t>
    </r>
    <r>
      <rPr>
        <sz val="12"/>
        <rFont val="Times New Roman"/>
        <family val="0"/>
      </rPr>
      <t>P</t>
    </r>
    <r>
      <rPr>
        <sz val="12"/>
        <rFont val="Times New Roman"/>
        <family val="1"/>
      </rPr>
      <t>o</t>
    </r>
    <r>
      <rPr>
        <sz val="12"/>
        <rFont val="Times New Roman"/>
        <family val="0"/>
      </rPr>
      <t>)</t>
    </r>
  </si>
  <si>
    <t>n - коэффициент перегрузки, равный 1,1;</t>
  </si>
  <si>
    <r>
      <t>R</t>
    </r>
    <r>
      <rPr>
        <vertAlign val="superscript"/>
        <sz val="12"/>
        <rFont val="Times New Roman"/>
        <family val="1"/>
      </rPr>
      <t>н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= </t>
    </r>
    <r>
      <rPr>
        <sz val="12"/>
        <rFont val="Times New Roman"/>
        <family val="1"/>
      </rPr>
      <t>σ</t>
    </r>
    <r>
      <rPr>
        <vertAlign val="subscript"/>
        <sz val="12"/>
        <rFont val="Times New Roman"/>
        <family val="1"/>
      </rPr>
      <t>вр</t>
    </r>
    <r>
      <rPr>
        <sz val="12"/>
        <rFont val="Times New Roman"/>
        <family val="0"/>
      </rPr>
      <t xml:space="preserve"> - нормативное сопротивление растяжению металла труб и сварных соединений из условия работы на разрыв (для Ст.3 σ</t>
    </r>
    <r>
      <rPr>
        <vertAlign val="subscript"/>
        <sz val="12"/>
        <rFont val="Times New Roman"/>
        <family val="1"/>
      </rPr>
      <t>вр</t>
    </r>
    <r>
      <rPr>
        <sz val="12"/>
        <rFont val="Times New Roman"/>
        <family val="0"/>
      </rPr>
      <t xml:space="preserve"> = 4000 кГ/см</t>
    </r>
    <r>
      <rPr>
        <sz val="12"/>
        <rFont val="Times New Roman"/>
        <family val="1"/>
      </rPr>
      <t>²</t>
    </r>
    <r>
      <rPr>
        <sz val="12"/>
        <rFont val="Times New Roman"/>
        <family val="0"/>
      </rPr>
      <t>, для Ст.4 σ</t>
    </r>
    <r>
      <rPr>
        <vertAlign val="subscript"/>
        <sz val="12"/>
        <rFont val="Times New Roman"/>
        <family val="1"/>
      </rPr>
      <t>вр</t>
    </r>
    <r>
      <rPr>
        <sz val="12"/>
        <rFont val="Times New Roman"/>
        <family val="0"/>
      </rPr>
      <t xml:space="preserve"> = 4200 кГ/см², для стали 20 σ</t>
    </r>
    <r>
      <rPr>
        <vertAlign val="subscript"/>
        <sz val="12"/>
        <rFont val="Times New Roman"/>
        <family val="1"/>
      </rPr>
      <t>вр</t>
    </r>
    <r>
      <rPr>
        <sz val="12"/>
        <rFont val="Times New Roman"/>
        <family val="0"/>
      </rPr>
      <t xml:space="preserve"> = 4400 кГ/см²)</t>
    </r>
  </si>
  <si>
    <t>Расчетное сопротивление</t>
  </si>
  <si>
    <r>
      <t>R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= R</t>
    </r>
    <r>
      <rPr>
        <vertAlign val="superscript"/>
        <sz val="12"/>
        <rFont val="Times New Roman"/>
        <family val="1"/>
      </rPr>
      <t>н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·</t>
    </r>
    <r>
      <rPr>
        <sz val="12"/>
        <rFont val="Times New Roman"/>
        <family val="0"/>
      </rPr>
      <t>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>·m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>·m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</si>
  <si>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- коэффициент однородности при разрыве стали (для бесшовных стальных труб из углеродистой стали 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= 0,8; для сварных труб из углеродистых сталей 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= 0,85)</t>
    </r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</si>
  <si>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- коэффициент условий работы материала при разрыве труб, равный 0,8</t>
    </r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</si>
  <si>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- коэффициент условий работы трубопровода, равный для разво-дящих трубопроводов тепловых сетей 0,75 и для магистральных трубопроводов 0,6</t>
    </r>
  </si>
  <si>
    <r>
      <t xml:space="preserve">Расчет П-образного </t>
    </r>
    <r>
      <rPr>
        <b/>
        <sz val="12"/>
        <color indexed="10"/>
        <rFont val="Times New Roman"/>
        <family val="1"/>
      </rPr>
      <t>горизонтального</t>
    </r>
    <r>
      <rPr>
        <b/>
        <sz val="12"/>
        <rFont val="Times New Roman"/>
        <family val="1"/>
      </rPr>
      <t xml:space="preserve"> компенсатора (Е.Я. Соколов "Теплофикация и тепловые сети", 1999 г.)</t>
    </r>
  </si>
  <si>
    <r>
      <t xml:space="preserve">Расчет Г-образного </t>
    </r>
    <r>
      <rPr>
        <b/>
        <sz val="12"/>
        <color indexed="10"/>
        <rFont val="Times New Roman"/>
        <family val="1"/>
      </rPr>
      <t>горизонтального</t>
    </r>
    <r>
      <rPr>
        <b/>
        <sz val="12"/>
        <rFont val="Times New Roman"/>
        <family val="1"/>
      </rPr>
      <t xml:space="preserve"> компенсатора (Е.Я. Соколов "Теплофикация и тепловые сети", 1999 г.)</t>
    </r>
  </si>
  <si>
    <r>
      <t xml:space="preserve">Расчет Z-образного </t>
    </r>
    <r>
      <rPr>
        <b/>
        <sz val="12"/>
        <color indexed="10"/>
        <rFont val="Times New Roman"/>
        <family val="1"/>
      </rPr>
      <t>горизонтального</t>
    </r>
    <r>
      <rPr>
        <b/>
        <sz val="12"/>
        <rFont val="Times New Roman"/>
        <family val="1"/>
      </rPr>
      <t xml:space="preserve"> компенсатора (А.А.Николаев, "Справочник проектировщика. Проектирование тепловых сетей", таблица 10.19)</t>
    </r>
  </si>
  <si>
    <r>
      <t xml:space="preserve">Расчет Г-образного </t>
    </r>
    <r>
      <rPr>
        <b/>
        <sz val="12"/>
        <color indexed="10"/>
        <rFont val="Times New Roman"/>
        <family val="1"/>
      </rPr>
      <t>горизонтального</t>
    </r>
    <r>
      <rPr>
        <b/>
        <sz val="12"/>
        <rFont val="Times New Roman"/>
        <family val="1"/>
      </rPr>
      <t xml:space="preserve"> компенсатора (А.А.Николаев, "Справочник проектировщика. Проектирование тепловых сетей", таблица 10.19)</t>
    </r>
  </si>
  <si>
    <t>Разработчик программы</t>
  </si>
  <si>
    <t>Волосатов Павел Анатольевич</t>
  </si>
  <si>
    <t>ПК "Головной проектный институт ЧЕЛЯБИНСКГРАЖДАНПРОЕКТ"</t>
  </si>
  <si>
    <t>инженер-проектировщик 2 категории</t>
  </si>
  <si>
    <r>
      <t xml:space="preserve">Расчет толщины стенки трубы (взят из книги "Проектирование и расчет конструкций тепловых сетей" А.А.Лямин, А.А.Скворцов). </t>
    </r>
    <r>
      <rPr>
        <sz val="12"/>
        <color indexed="10"/>
        <rFont val="Times New Roman"/>
        <family val="1"/>
      </rPr>
      <t>Результаты расчета странные - либо ошибка в формулах, либо в размерностях.</t>
    </r>
  </si>
  <si>
    <t>УТ-14 : зд.14</t>
  </si>
  <si>
    <t>УТ-14 : зд.15</t>
  </si>
  <si>
    <t>УТ-14 : зд.16</t>
  </si>
  <si>
    <t>УТ-14 : зд.17</t>
  </si>
  <si>
    <t>УТ-14 : зд.18</t>
  </si>
  <si>
    <t>УТ-14 : зд.19</t>
  </si>
  <si>
    <t>УТ-14 : зд.20</t>
  </si>
  <si>
    <t>УТ-14 : зд.21</t>
  </si>
  <si>
    <t>УТ-14 : зд.22</t>
  </si>
  <si>
    <t>УТ-14 : зд.23</t>
  </si>
  <si>
    <t>УТ-14 : зд.24</t>
  </si>
  <si>
    <t>УТ-14 : зд.25</t>
  </si>
  <si>
    <t>УТ-14 : зд.26</t>
  </si>
  <si>
    <t>УТ-14 : зд.27</t>
  </si>
  <si>
    <t>УТ-14 : зд.28</t>
  </si>
  <si>
    <t>УТ-14 : зд.29</t>
  </si>
  <si>
    <t>УТ-14 : зд.30</t>
  </si>
  <si>
    <t>УТ-14 : зд.31</t>
  </si>
  <si>
    <t>УТ-14 : зд.32</t>
  </si>
  <si>
    <t>УТ-14 : зд.33</t>
  </si>
  <si>
    <t>УТ-14 : зд.34</t>
  </si>
  <si>
    <t>УТ-14 : зд.35</t>
  </si>
  <si>
    <t>УТ-14 : зд.36</t>
  </si>
  <si>
    <t>УТ-14 : зд.37</t>
  </si>
  <si>
    <t>УТ-14 : зд.38</t>
  </si>
  <si>
    <t>УТ-14 : зд.39</t>
  </si>
  <si>
    <t>УТ-14 : зд.40</t>
  </si>
  <si>
    <t>УТ-14 : зд.41</t>
  </si>
  <si>
    <t>УТ-14 : зд.42</t>
  </si>
  <si>
    <t>УТ-14 : зд.43</t>
  </si>
  <si>
    <t>УТ-14 : зд.44</t>
  </si>
  <si>
    <t>УТ-14 : зд.45</t>
  </si>
  <si>
    <t>e-mail: doberman_sod@74.ru</t>
  </si>
  <si>
    <t>Тип компенсаторов: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</si>
</sst>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[$-FC19]d\ mmmm\ yyyy\ &quot;г.&quot;"/>
    <numFmt numFmtId="172" formatCode="000000"/>
    <numFmt numFmtId="173" formatCode="#,##0.000"/>
    <numFmt numFmtId="174" formatCode="0.00000"/>
    <numFmt numFmtId="175" formatCode="0.000000"/>
    <numFmt numFmtId="176" formatCode="#,##0.00_ ;\-#,##0.00\ "/>
    <numFmt numFmtId="177" formatCode="#,##0.0_ ;\-#,##0.0\ "/>
    <numFmt numFmtId="178" formatCode="0.0000000000"/>
    <numFmt numFmtId="179" formatCode="0.00000;[Red]0.00000"/>
    <numFmt numFmtId="180" formatCode="0.0000000"/>
    <numFmt numFmtId="181" formatCode="0.000000000000"/>
    <numFmt numFmtId="182" formatCode="_-* #,##0.000_р_._-;\-* #,##0.000_р_._-;_-* &quot;-&quot;??_р_._-;_-@_-"/>
    <numFmt numFmtId="183" formatCode="_-* #,##0.0_р_._-;\-* #,##0.0_р_._-;_-* &quot;-&quot;??_р_._-;_-@_-"/>
  </numFmts>
  <fonts count="93">
    <font>
      <sz val="12"/>
      <name val="Times New Roman"/>
      <family val="0"/>
    </font>
    <font>
      <vertAlign val="superscript"/>
      <sz val="12"/>
      <name val="Times New Roman"/>
      <family val="1"/>
    </font>
    <font>
      <sz val="12"/>
      <name val="UniversalMath1 BT"/>
      <family val="1"/>
    </font>
    <font>
      <vertAlign val="subscript"/>
      <sz val="12"/>
      <name val="Times New Roman"/>
      <family val="1"/>
    </font>
    <font>
      <sz val="8"/>
      <name val="Times New Roman"/>
      <family val="0"/>
    </font>
    <font>
      <sz val="12"/>
      <name val="Tahoma"/>
      <family val="2"/>
    </font>
    <font>
      <sz val="10"/>
      <name val="Tahoma"/>
      <family val="2"/>
    </font>
    <font>
      <sz val="11"/>
      <name val="Times New Roman"/>
      <family val="0"/>
    </font>
    <font>
      <b/>
      <sz val="12"/>
      <name val="Times New Roman"/>
      <family val="1"/>
    </font>
    <font>
      <sz val="12"/>
      <color indexed="12"/>
      <name val="Times New Roman"/>
      <family val="0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2"/>
      <name val="UniversalMath1 BT"/>
      <family val="1"/>
    </font>
    <font>
      <sz val="10"/>
      <name val="Times New Roman"/>
      <family val="0"/>
    </font>
    <font>
      <b/>
      <vertAlign val="subscript"/>
      <sz val="12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sz val="12"/>
      <name val="UniversalMath1 BT"/>
      <family val="1"/>
    </font>
    <font>
      <u val="single"/>
      <sz val="9.5"/>
      <name val="Times New Roman"/>
      <family val="1"/>
    </font>
    <font>
      <u val="single"/>
      <vertAlign val="superscript"/>
      <sz val="9.5"/>
      <name val="Times New Roman"/>
      <family val="1"/>
    </font>
    <font>
      <u val="single"/>
      <sz val="9.5"/>
      <name val="UniversalMath1 BT"/>
      <family val="1"/>
    </font>
    <font>
      <u val="single"/>
      <sz val="9.8"/>
      <name val="Times New Roman"/>
      <family val="1"/>
    </font>
    <font>
      <u val="single"/>
      <vertAlign val="superscript"/>
      <sz val="9.8"/>
      <name val="Times New Roman"/>
      <family val="1"/>
    </font>
    <font>
      <u val="single"/>
      <sz val="9.8"/>
      <name val="UniversalMath1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Symbol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Up="1">
      <left>
        <color indexed="63"/>
      </left>
      <right>
        <color indexed="63"/>
      </right>
      <top>
        <color indexed="63"/>
      </top>
      <bottom style="thin"/>
      <diagonal style="thick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32" fillId="3" borderId="0" applyNumberFormat="0" applyBorder="0" applyAlignment="0" applyProtection="0"/>
    <xf numFmtId="0" fontId="75" fillId="4" borderId="0" applyNumberFormat="0" applyBorder="0" applyAlignment="0" applyProtection="0"/>
    <xf numFmtId="0" fontId="32" fillId="5" borderId="0" applyNumberFormat="0" applyBorder="0" applyAlignment="0" applyProtection="0"/>
    <xf numFmtId="0" fontId="75" fillId="6" borderId="0" applyNumberFormat="0" applyBorder="0" applyAlignment="0" applyProtection="0"/>
    <xf numFmtId="0" fontId="32" fillId="7" borderId="0" applyNumberFormat="0" applyBorder="0" applyAlignment="0" applyProtection="0"/>
    <xf numFmtId="0" fontId="75" fillId="8" borderId="0" applyNumberFormat="0" applyBorder="0" applyAlignment="0" applyProtection="0"/>
    <xf numFmtId="0" fontId="32" fillId="9" borderId="0" applyNumberFormat="0" applyBorder="0" applyAlignment="0" applyProtection="0"/>
    <xf numFmtId="0" fontId="75" fillId="10" borderId="0" applyNumberFormat="0" applyBorder="0" applyAlignment="0" applyProtection="0"/>
    <xf numFmtId="0" fontId="32" fillId="11" borderId="0" applyNumberFormat="0" applyBorder="0" applyAlignment="0" applyProtection="0"/>
    <xf numFmtId="0" fontId="75" fillId="12" borderId="0" applyNumberFormat="0" applyBorder="0" applyAlignment="0" applyProtection="0"/>
    <xf numFmtId="0" fontId="32" fillId="13" borderId="0" applyNumberFormat="0" applyBorder="0" applyAlignment="0" applyProtection="0"/>
    <xf numFmtId="0" fontId="75" fillId="14" borderId="0" applyNumberFormat="0" applyBorder="0" applyAlignment="0" applyProtection="0"/>
    <xf numFmtId="0" fontId="32" fillId="15" borderId="0" applyNumberFormat="0" applyBorder="0" applyAlignment="0" applyProtection="0"/>
    <xf numFmtId="0" fontId="75" fillId="16" borderId="0" applyNumberFormat="0" applyBorder="0" applyAlignment="0" applyProtection="0"/>
    <xf numFmtId="0" fontId="32" fillId="17" borderId="0" applyNumberFormat="0" applyBorder="0" applyAlignment="0" applyProtection="0"/>
    <xf numFmtId="0" fontId="75" fillId="18" borderId="0" applyNumberFormat="0" applyBorder="0" applyAlignment="0" applyProtection="0"/>
    <xf numFmtId="0" fontId="32" fillId="19" borderId="0" applyNumberFormat="0" applyBorder="0" applyAlignment="0" applyProtection="0"/>
    <xf numFmtId="0" fontId="75" fillId="20" borderId="0" applyNumberFormat="0" applyBorder="0" applyAlignment="0" applyProtection="0"/>
    <xf numFmtId="0" fontId="32" fillId="9" borderId="0" applyNumberFormat="0" applyBorder="0" applyAlignment="0" applyProtection="0"/>
    <xf numFmtId="0" fontId="75" fillId="21" borderId="0" applyNumberFormat="0" applyBorder="0" applyAlignment="0" applyProtection="0"/>
    <xf numFmtId="0" fontId="32" fillId="15" borderId="0" applyNumberFormat="0" applyBorder="0" applyAlignment="0" applyProtection="0"/>
    <xf numFmtId="0" fontId="75" fillId="22" borderId="0" applyNumberFormat="0" applyBorder="0" applyAlignment="0" applyProtection="0"/>
    <xf numFmtId="0" fontId="32" fillId="23" borderId="0" applyNumberFormat="0" applyBorder="0" applyAlignment="0" applyProtection="0"/>
    <xf numFmtId="0" fontId="76" fillId="24" borderId="0" applyNumberFormat="0" applyBorder="0" applyAlignment="0" applyProtection="0"/>
    <xf numFmtId="0" fontId="33" fillId="25" borderId="0" applyNumberFormat="0" applyBorder="0" applyAlignment="0" applyProtection="0"/>
    <xf numFmtId="0" fontId="76" fillId="26" borderId="0" applyNumberFormat="0" applyBorder="0" applyAlignment="0" applyProtection="0"/>
    <xf numFmtId="0" fontId="33" fillId="17" borderId="0" applyNumberFormat="0" applyBorder="0" applyAlignment="0" applyProtection="0"/>
    <xf numFmtId="0" fontId="76" fillId="27" borderId="0" applyNumberFormat="0" applyBorder="0" applyAlignment="0" applyProtection="0"/>
    <xf numFmtId="0" fontId="33" fillId="19" borderId="0" applyNumberFormat="0" applyBorder="0" applyAlignment="0" applyProtection="0"/>
    <xf numFmtId="0" fontId="76" fillId="28" borderId="0" applyNumberFormat="0" applyBorder="0" applyAlignment="0" applyProtection="0"/>
    <xf numFmtId="0" fontId="33" fillId="29" borderId="0" applyNumberFormat="0" applyBorder="0" applyAlignment="0" applyProtection="0"/>
    <xf numFmtId="0" fontId="76" fillId="30" borderId="0" applyNumberFormat="0" applyBorder="0" applyAlignment="0" applyProtection="0"/>
    <xf numFmtId="0" fontId="33" fillId="31" borderId="0" applyNumberFormat="0" applyBorder="0" applyAlignment="0" applyProtection="0"/>
    <xf numFmtId="0" fontId="76" fillId="32" borderId="0" applyNumberFormat="0" applyBorder="0" applyAlignment="0" applyProtection="0"/>
    <xf numFmtId="0" fontId="33" fillId="33" borderId="0" applyNumberFormat="0" applyBorder="0" applyAlignment="0" applyProtection="0"/>
    <xf numFmtId="0" fontId="76" fillId="34" borderId="0" applyNumberFormat="0" applyBorder="0" applyAlignment="0" applyProtection="0"/>
    <xf numFmtId="0" fontId="33" fillId="35" borderId="0" applyNumberFormat="0" applyBorder="0" applyAlignment="0" applyProtection="0"/>
    <xf numFmtId="0" fontId="76" fillId="36" borderId="0" applyNumberFormat="0" applyBorder="0" applyAlignment="0" applyProtection="0"/>
    <xf numFmtId="0" fontId="33" fillId="37" borderId="0" applyNumberFormat="0" applyBorder="0" applyAlignment="0" applyProtection="0"/>
    <xf numFmtId="0" fontId="76" fillId="38" borderId="0" applyNumberFormat="0" applyBorder="0" applyAlignment="0" applyProtection="0"/>
    <xf numFmtId="0" fontId="33" fillId="39" borderId="0" applyNumberFormat="0" applyBorder="0" applyAlignment="0" applyProtection="0"/>
    <xf numFmtId="0" fontId="76" fillId="40" borderId="0" applyNumberFormat="0" applyBorder="0" applyAlignment="0" applyProtection="0"/>
    <xf numFmtId="0" fontId="33" fillId="29" borderId="0" applyNumberFormat="0" applyBorder="0" applyAlignment="0" applyProtection="0"/>
    <xf numFmtId="0" fontId="76" fillId="41" borderId="0" applyNumberFormat="0" applyBorder="0" applyAlignment="0" applyProtection="0"/>
    <xf numFmtId="0" fontId="33" fillId="31" borderId="0" applyNumberFormat="0" applyBorder="0" applyAlignment="0" applyProtection="0"/>
    <xf numFmtId="0" fontId="76" fillId="42" borderId="0" applyNumberFormat="0" applyBorder="0" applyAlignment="0" applyProtection="0"/>
    <xf numFmtId="0" fontId="33" fillId="43" borderId="0" applyNumberFormat="0" applyBorder="0" applyAlignment="0" applyProtection="0"/>
    <xf numFmtId="0" fontId="77" fillId="44" borderId="1" applyNumberFormat="0" applyAlignment="0" applyProtection="0"/>
    <xf numFmtId="0" fontId="34" fillId="13" borderId="2" applyNumberFormat="0" applyAlignment="0" applyProtection="0"/>
    <xf numFmtId="0" fontId="78" fillId="45" borderId="3" applyNumberFormat="0" applyAlignment="0" applyProtection="0"/>
    <xf numFmtId="0" fontId="35" fillId="46" borderId="4" applyNumberFormat="0" applyAlignment="0" applyProtection="0"/>
    <xf numFmtId="0" fontId="79" fillId="45" borderId="1" applyNumberFormat="0" applyAlignment="0" applyProtection="0"/>
    <xf numFmtId="0" fontId="36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38" fillId="0" borderId="6" applyNumberFormat="0" applyFill="0" applyAlignment="0" applyProtection="0"/>
    <xf numFmtId="0" fontId="81" fillId="0" borderId="7" applyNumberFormat="0" applyFill="0" applyAlignment="0" applyProtection="0"/>
    <xf numFmtId="0" fontId="39" fillId="0" borderId="8" applyNumberFormat="0" applyFill="0" applyAlignment="0" applyProtection="0"/>
    <xf numFmtId="0" fontId="82" fillId="0" borderId="9" applyNumberFormat="0" applyFill="0" applyAlignment="0" applyProtection="0"/>
    <xf numFmtId="0" fontId="40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11" applyNumberFormat="0" applyFill="0" applyAlignment="0" applyProtection="0"/>
    <xf numFmtId="0" fontId="41" fillId="0" borderId="12" applyNumberFormat="0" applyFill="0" applyAlignment="0" applyProtection="0"/>
    <xf numFmtId="0" fontId="84" fillId="47" borderId="13" applyNumberFormat="0" applyAlignment="0" applyProtection="0"/>
    <xf numFmtId="0" fontId="42" fillId="48" borderId="14" applyNumberFormat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43" fillId="5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4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45" fillId="5" borderId="0" applyNumberFormat="0" applyBorder="0" applyAlignment="0" applyProtection="0"/>
    <xf numFmtId="0" fontId="8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5" fillId="53" borderId="16" applyNumberFormat="0" applyFont="0" applyAlignment="0" applyProtection="0"/>
    <xf numFmtId="9" fontId="0" fillId="0" borderId="0" applyFont="0" applyFill="0" applyBorder="0" applyAlignment="0" applyProtection="0"/>
    <xf numFmtId="0" fontId="89" fillId="0" borderId="17" applyNumberFormat="0" applyFill="0" applyAlignment="0" applyProtection="0"/>
    <xf numFmtId="0" fontId="47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54" borderId="0" applyNumberFormat="0" applyBorder="0" applyAlignment="0" applyProtection="0"/>
    <xf numFmtId="0" fontId="49" fillId="7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6" borderId="20" xfId="0" applyFill="1" applyBorder="1" applyAlignment="1">
      <alignment horizontal="center" vertical="center"/>
    </xf>
    <xf numFmtId="0" fontId="0" fillId="46" borderId="20" xfId="0" applyFill="1" applyBorder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hidden="1"/>
    </xf>
    <xf numFmtId="2" fontId="9" fillId="0" borderId="21" xfId="0" applyNumberFormat="1" applyFont="1" applyBorder="1" applyAlignment="1" applyProtection="1">
      <alignment horizontal="center"/>
      <protection hidden="1"/>
    </xf>
    <xf numFmtId="2" fontId="9" fillId="0" borderId="22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7" borderId="20" xfId="0" applyFill="1" applyBorder="1" applyAlignment="1" applyProtection="1">
      <alignment horizontal="center"/>
      <protection locked="0"/>
    </xf>
    <xf numFmtId="2" fontId="0" fillId="55" borderId="20" xfId="0" applyNumberFormat="1" applyFill="1" applyBorder="1" applyAlignment="1" applyProtection="1">
      <alignment horizontal="center"/>
      <protection hidden="1"/>
    </xf>
    <xf numFmtId="0" fontId="0" fillId="55" borderId="20" xfId="0" applyFill="1" applyBorder="1" applyAlignment="1" applyProtection="1">
      <alignment horizontal="center"/>
      <protection hidden="1"/>
    </xf>
    <xf numFmtId="164" fontId="0" fillId="55" borderId="2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hidden="1"/>
    </xf>
    <xf numFmtId="165" fontId="9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2" fontId="9" fillId="0" borderId="24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9" fillId="0" borderId="24" xfId="0" applyNumberFormat="1" applyFont="1" applyBorder="1" applyAlignment="1" applyProtection="1">
      <alignment horizontal="center"/>
      <protection hidden="1"/>
    </xf>
    <xf numFmtId="2" fontId="9" fillId="0" borderId="20" xfId="0" applyNumberFormat="1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0" fillId="0" borderId="27" xfId="0" applyBorder="1" applyAlignment="1">
      <alignment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3" fillId="0" borderId="21" xfId="0" applyFont="1" applyBorder="1" applyAlignment="1">
      <alignment/>
    </xf>
    <xf numFmtId="2" fontId="9" fillId="0" borderId="28" xfId="0" applyNumberFormat="1" applyFont="1" applyBorder="1" applyAlignment="1" applyProtection="1">
      <alignment horizontal="center" vertical="center"/>
      <protection hidden="1"/>
    </xf>
    <xf numFmtId="164" fontId="0" fillId="0" borderId="29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top" wrapText="1"/>
    </xf>
    <xf numFmtId="0" fontId="0" fillId="0" borderId="27" xfId="0" applyBorder="1" applyAlignment="1">
      <alignment vertical="center"/>
    </xf>
    <xf numFmtId="164" fontId="9" fillId="0" borderId="24" xfId="0" applyNumberFormat="1" applyFont="1" applyBorder="1" applyAlignment="1" applyProtection="1">
      <alignment horizontal="center" vertical="center"/>
      <protection hidden="1"/>
    </xf>
    <xf numFmtId="0" fontId="15" fillId="0" borderId="0" xfId="88">
      <alignment/>
      <protection/>
    </xf>
    <xf numFmtId="0" fontId="0" fillId="0" borderId="20" xfId="88" applyFont="1" applyFill="1" applyBorder="1" applyAlignment="1" applyProtection="1">
      <alignment horizontal="center" vertical="center"/>
      <protection locked="0"/>
    </xf>
    <xf numFmtId="0" fontId="15" fillId="0" borderId="0" xfId="88" applyBorder="1" applyAlignment="1">
      <alignment/>
      <protection/>
    </xf>
    <xf numFmtId="0" fontId="15" fillId="0" borderId="0" xfId="88" applyBorder="1">
      <alignment/>
      <protection/>
    </xf>
    <xf numFmtId="165" fontId="0" fillId="0" borderId="20" xfId="88" applyNumberFormat="1" applyFont="1" applyFill="1" applyBorder="1" applyAlignment="1" applyProtection="1">
      <alignment horizontal="center" vertical="center"/>
      <protection locked="0"/>
    </xf>
    <xf numFmtId="2" fontId="0" fillId="0" borderId="0" xfId="88" applyNumberFormat="1" applyFont="1" applyBorder="1" applyAlignment="1">
      <alignment vertical="center"/>
      <protection/>
    </xf>
    <xf numFmtId="165" fontId="0" fillId="0" borderId="0" xfId="88" applyNumberFormat="1" applyFont="1" applyFill="1" applyBorder="1" applyAlignment="1" applyProtection="1">
      <alignment horizontal="center" vertical="center"/>
      <protection locked="0"/>
    </xf>
    <xf numFmtId="0" fontId="0" fillId="0" borderId="20" xfId="88" applyFont="1" applyBorder="1" applyAlignment="1">
      <alignment horizontal="center" vertical="center" textRotation="90" wrapText="1"/>
      <protection/>
    </xf>
    <xf numFmtId="0" fontId="0" fillId="0" borderId="20" xfId="89" applyFont="1" applyBorder="1" applyAlignment="1">
      <alignment horizontal="center" vertical="center"/>
      <protection/>
    </xf>
    <xf numFmtId="0" fontId="0" fillId="0" borderId="0" xfId="88" applyFont="1">
      <alignment/>
      <protection/>
    </xf>
    <xf numFmtId="0" fontId="0" fillId="0" borderId="20" xfId="89" applyFont="1" applyBorder="1" applyAlignment="1">
      <alignment horizontal="center"/>
      <protection/>
    </xf>
    <xf numFmtId="0" fontId="0" fillId="0" borderId="20" xfId="89" applyNumberFormat="1" applyFont="1" applyBorder="1" applyAlignment="1">
      <alignment horizontal="center"/>
      <protection/>
    </xf>
    <xf numFmtId="164" fontId="0" fillId="0" borderId="20" xfId="89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hidden="1"/>
    </xf>
    <xf numFmtId="164" fontId="9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left" indent="2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20" xfId="90" applyFont="1" applyBorder="1" applyAlignment="1" applyProtection="1">
      <alignment horizontal="center" vertical="center"/>
      <protection hidden="1"/>
    </xf>
    <xf numFmtId="0" fontId="50" fillId="0" borderId="0" xfId="90" applyFont="1" applyFill="1" applyBorder="1" applyAlignment="1" applyProtection="1">
      <alignment horizontal="center" vertical="center"/>
      <protection hidden="1"/>
    </xf>
    <xf numFmtId="0" fontId="0" fillId="0" borderId="0" xfId="90" applyFont="1" applyFill="1" applyBorder="1" applyAlignment="1" applyProtection="1">
      <alignment/>
      <protection hidden="1"/>
    </xf>
    <xf numFmtId="0" fontId="0" fillId="0" borderId="0" xfId="90" applyFont="1" applyFill="1" applyBorder="1" applyAlignment="1" applyProtection="1">
      <alignment horizontal="left" vertical="top"/>
      <protection hidden="1"/>
    </xf>
    <xf numFmtId="0" fontId="0" fillId="0" borderId="0" xfId="90" applyFont="1" applyFill="1" applyBorder="1" applyAlignment="1" applyProtection="1">
      <alignment horizontal="right" vertical="center"/>
      <protection hidden="1"/>
    </xf>
    <xf numFmtId="0" fontId="0" fillId="0" borderId="0" xfId="90" applyFont="1" applyBorder="1" applyAlignment="1" applyProtection="1">
      <alignment horizontal="center" vertical="center"/>
      <protection hidden="1"/>
    </xf>
    <xf numFmtId="0" fontId="13" fillId="0" borderId="0" xfId="90" applyFont="1" applyProtection="1">
      <alignment/>
      <protection hidden="1"/>
    </xf>
    <xf numFmtId="0" fontId="13" fillId="0" borderId="0" xfId="90" applyFont="1" applyBorder="1" applyAlignment="1" applyProtection="1">
      <alignment/>
      <protection hidden="1"/>
    </xf>
    <xf numFmtId="0" fontId="0" fillId="0" borderId="0" xfId="90" applyFont="1" applyBorder="1" applyAlignment="1" applyProtection="1">
      <alignment vertical="center"/>
      <protection hidden="1"/>
    </xf>
    <xf numFmtId="0" fontId="13" fillId="0" borderId="0" xfId="90" applyFont="1" applyBorder="1" applyAlignment="1" applyProtection="1">
      <alignment horizontal="center"/>
      <protection hidden="1"/>
    </xf>
    <xf numFmtId="0" fontId="0" fillId="0" borderId="0" xfId="90" applyFont="1" applyBorder="1" applyAlignment="1" applyProtection="1">
      <alignment/>
      <protection hidden="1"/>
    </xf>
    <xf numFmtId="0" fontId="0" fillId="0" borderId="20" xfId="89" applyNumberFormat="1" applyFont="1" applyBorder="1" applyAlignment="1">
      <alignment horizontal="center" vertical="center"/>
      <protection/>
    </xf>
    <xf numFmtId="0" fontId="13" fillId="0" borderId="20" xfId="90" applyFont="1" applyBorder="1" applyAlignment="1" applyProtection="1">
      <alignment horizontal="center" vertical="center"/>
      <protection hidden="1"/>
    </xf>
    <xf numFmtId="0" fontId="15" fillId="0" borderId="0" xfId="88" applyAlignment="1">
      <alignment/>
      <protection/>
    </xf>
    <xf numFmtId="2" fontId="15" fillId="0" borderId="0" xfId="88" applyNumberFormat="1">
      <alignment/>
      <protection/>
    </xf>
    <xf numFmtId="0" fontId="51" fillId="0" borderId="21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0" fontId="58" fillId="0" borderId="0" xfId="88" applyFont="1">
      <alignment/>
      <protection/>
    </xf>
    <xf numFmtId="0" fontId="9" fillId="0" borderId="20" xfId="88" applyFont="1" applyFill="1" applyBorder="1" applyAlignment="1" applyProtection="1">
      <alignment horizontal="center" vertical="center"/>
      <protection hidden="1"/>
    </xf>
    <xf numFmtId="165" fontId="9" fillId="0" borderId="20" xfId="88" applyNumberFormat="1" applyFont="1" applyFill="1" applyBorder="1" applyAlignment="1" applyProtection="1">
      <alignment horizontal="center" vertical="center"/>
      <protection hidden="1"/>
    </xf>
    <xf numFmtId="0" fontId="9" fillId="0" borderId="20" xfId="88" applyNumberFormat="1" applyFont="1" applyFill="1" applyBorder="1" applyAlignment="1" applyProtection="1">
      <alignment horizontal="center" vertical="center"/>
      <protection hidden="1"/>
    </xf>
    <xf numFmtId="0" fontId="0" fillId="0" borderId="20" xfId="88" applyFont="1" applyBorder="1" applyAlignment="1" applyProtection="1">
      <alignment horizontal="center" vertical="center"/>
      <protection hidden="1"/>
    </xf>
    <xf numFmtId="0" fontId="0" fillId="0" borderId="20" xfId="88" applyFont="1" applyBorder="1" applyAlignment="1" applyProtection="1">
      <alignment horizontal="center" vertical="center" textRotation="90" wrapText="1"/>
      <protection hidden="1"/>
    </xf>
    <xf numFmtId="164" fontId="9" fillId="0" borderId="20" xfId="88" applyNumberFormat="1" applyFont="1" applyBorder="1" applyAlignment="1" applyProtection="1">
      <alignment horizontal="center" vertical="center"/>
      <protection hidden="1"/>
    </xf>
    <xf numFmtId="0" fontId="9" fillId="0" borderId="20" xfId="88" applyFont="1" applyBorder="1" applyAlignment="1" applyProtection="1">
      <alignment horizontal="center" vertical="center"/>
      <protection hidden="1"/>
    </xf>
    <xf numFmtId="2" fontId="9" fillId="0" borderId="20" xfId="88" applyNumberFormat="1" applyFont="1" applyBorder="1" applyAlignment="1" applyProtection="1">
      <alignment horizontal="center" vertical="center"/>
      <protection hidden="1"/>
    </xf>
    <xf numFmtId="1" fontId="9" fillId="0" borderId="20" xfId="88" applyNumberFormat="1" applyFont="1" applyBorder="1" applyAlignment="1" applyProtection="1">
      <alignment horizontal="center" vertical="center"/>
      <protection hidden="1"/>
    </xf>
    <xf numFmtId="0" fontId="15" fillId="0" borderId="20" xfId="88" applyBorder="1" applyProtection="1">
      <alignment/>
      <protection hidden="1"/>
    </xf>
    <xf numFmtId="0" fontId="0" fillId="0" borderId="20" xfId="88" applyFont="1" applyBorder="1" applyAlignment="1" applyProtection="1">
      <alignment horizontal="center" vertical="center"/>
      <protection locked="0"/>
    </xf>
    <xf numFmtId="164" fontId="0" fillId="0" borderId="20" xfId="88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ill="1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2" fontId="9" fillId="0" borderId="45" xfId="0" applyNumberFormat="1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9" fillId="0" borderId="24" xfId="0" applyNumberFormat="1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9" fillId="0" borderId="29" xfId="0" applyNumberFormat="1" applyFont="1" applyBorder="1" applyAlignment="1" applyProtection="1">
      <alignment horizontal="center" vertical="center"/>
      <protection hidden="1"/>
    </xf>
    <xf numFmtId="164" fontId="9" fillId="0" borderId="28" xfId="0" applyNumberFormat="1" applyFont="1" applyBorder="1" applyAlignment="1" applyProtection="1">
      <alignment horizontal="center" vertical="center"/>
      <protection hidden="1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8" xfId="0" applyBorder="1" applyAlignment="1" applyProtection="1">
      <alignment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49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164" fontId="9" fillId="0" borderId="51" xfId="0" applyNumberFormat="1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64" fontId="9" fillId="0" borderId="55" xfId="0" applyNumberFormat="1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0" fillId="0" borderId="46" xfId="0" applyBorder="1" applyAlignment="1">
      <alignment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52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49" fontId="0" fillId="46" borderId="20" xfId="0" applyNumberFormat="1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20" xfId="0" applyFill="1" applyBorder="1" applyAlignment="1">
      <alignment horizontal="center" vertical="center" wrapText="1"/>
    </xf>
    <xf numFmtId="0" fontId="0" fillId="46" borderId="20" xfId="0" applyFill="1" applyBorder="1" applyAlignment="1">
      <alignment horizontal="center" vertical="center"/>
    </xf>
    <xf numFmtId="0" fontId="0" fillId="46" borderId="20" xfId="0" applyFill="1" applyBorder="1" applyAlignment="1">
      <alignment vertical="center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46" borderId="20" xfId="0" applyFill="1" applyBorder="1" applyAlignment="1">
      <alignment vertical="center" wrapText="1"/>
    </xf>
    <xf numFmtId="0" fontId="0" fillId="0" borderId="20" xfId="88" applyFont="1" applyBorder="1" applyAlignment="1">
      <alignment vertical="center"/>
      <protection/>
    </xf>
    <xf numFmtId="0" fontId="15" fillId="0" borderId="20" xfId="88" applyBorder="1" applyAlignment="1">
      <alignment/>
      <protection/>
    </xf>
    <xf numFmtId="2" fontId="0" fillId="0" borderId="20" xfId="88" applyNumberFormat="1" applyFont="1" applyBorder="1" applyAlignment="1">
      <alignment vertical="center"/>
      <protection/>
    </xf>
    <xf numFmtId="2" fontId="8" fillId="0" borderId="26" xfId="88" applyNumberFormat="1" applyFont="1" applyBorder="1" applyAlignment="1" applyProtection="1">
      <alignment horizontal="center" vertical="center"/>
      <protection hidden="1"/>
    </xf>
    <xf numFmtId="0" fontId="17" fillId="0" borderId="26" xfId="88" applyFont="1" applyBorder="1" applyAlignment="1" applyProtection="1">
      <alignment horizontal="center" vertical="center"/>
      <protection hidden="1"/>
    </xf>
    <xf numFmtId="0" fontId="8" fillId="0" borderId="26" xfId="88" applyFont="1" applyBorder="1" applyAlignment="1">
      <alignment horizontal="center" vertical="center"/>
      <protection/>
    </xf>
    <xf numFmtId="0" fontId="8" fillId="0" borderId="0" xfId="88" applyFont="1" applyBorder="1" applyAlignment="1">
      <alignment horizontal="center" vertical="center"/>
      <protection/>
    </xf>
    <xf numFmtId="0" fontId="8" fillId="0" borderId="21" xfId="88" applyFont="1" applyBorder="1" applyAlignment="1" applyProtection="1">
      <alignment horizontal="center" vertical="center"/>
      <protection locked="0"/>
    </xf>
    <xf numFmtId="0" fontId="17" fillId="0" borderId="23" xfId="88" applyFont="1" applyBorder="1" applyAlignment="1" applyProtection="1">
      <alignment horizontal="center" vertical="center"/>
      <protection locked="0"/>
    </xf>
    <xf numFmtId="0" fontId="17" fillId="0" borderId="27" xfId="88" applyFont="1" applyBorder="1" applyAlignment="1" applyProtection="1">
      <alignment horizontal="center" vertical="center"/>
      <protection locked="0"/>
    </xf>
    <xf numFmtId="0" fontId="0" fillId="0" borderId="25" xfId="88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0" xfId="88" applyFont="1" applyBorder="1" applyAlignment="1" applyProtection="1">
      <alignment horizontal="center" vertical="center" wrapText="1"/>
      <protection hidden="1"/>
    </xf>
    <xf numFmtId="0" fontId="0" fillId="0" borderId="29" xfId="88" applyFont="1" applyBorder="1" applyAlignment="1" applyProtection="1">
      <alignment horizontal="center" vertical="center" textRotation="90" wrapText="1"/>
      <protection hidden="1"/>
    </xf>
    <xf numFmtId="0" fontId="15" fillId="0" borderId="28" xfId="88" applyBorder="1" applyAlignment="1" applyProtection="1">
      <alignment horizontal="center" vertical="center" wrapText="1"/>
      <protection hidden="1"/>
    </xf>
    <xf numFmtId="1" fontId="0" fillId="0" borderId="20" xfId="88" applyNumberFormat="1" applyFont="1" applyBorder="1" applyAlignment="1" applyProtection="1">
      <alignment horizontal="center" vertical="center" textRotation="90" wrapText="1"/>
      <protection hidden="1"/>
    </xf>
    <xf numFmtId="1" fontId="15" fillId="0" borderId="20" xfId="88" applyNumberFormat="1" applyBorder="1" applyAlignment="1" applyProtection="1">
      <alignment horizontal="center" vertical="center"/>
      <protection hidden="1"/>
    </xf>
    <xf numFmtId="0" fontId="0" fillId="0" borderId="28" xfId="88" applyFont="1" applyBorder="1" applyAlignment="1" applyProtection="1">
      <alignment horizontal="center" vertical="center" textRotation="90" wrapText="1"/>
      <protection hidden="1"/>
    </xf>
    <xf numFmtId="0" fontId="0" fillId="0" borderId="20" xfId="88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0" xfId="88" applyFont="1" applyAlignment="1">
      <alignment horizontal="center" vertical="center" wrapText="1"/>
      <protection/>
    </xf>
    <xf numFmtId="0" fontId="0" fillId="0" borderId="20" xfId="90" applyFont="1" applyBorder="1" applyAlignment="1" applyProtection="1">
      <alignment horizontal="center" vertical="center"/>
      <protection hidden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Гидравлика ТС" xfId="88"/>
    <cellStyle name="Обычный_О К Р А С К А" xfId="89"/>
    <cellStyle name="Обычный_Отопление v2.5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5</xdr:col>
      <xdr:colOff>371475</xdr:colOff>
      <xdr:row>22</xdr:row>
      <xdr:rowOff>0</xdr:rowOff>
    </xdr:to>
    <xdr:sp>
      <xdr:nvSpPr>
        <xdr:cNvPr id="1" name="Line 17"/>
        <xdr:cNvSpPr>
          <a:spLocks/>
        </xdr:cNvSpPr>
      </xdr:nvSpPr>
      <xdr:spPr>
        <a:xfrm flipH="1">
          <a:off x="2324100" y="5114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38100</xdr:rowOff>
    </xdr:from>
    <xdr:to>
      <xdr:col>4</xdr:col>
      <xdr:colOff>0</xdr:colOff>
      <xdr:row>23</xdr:row>
      <xdr:rowOff>142875</xdr:rowOff>
    </xdr:to>
    <xdr:sp>
      <xdr:nvSpPr>
        <xdr:cNvPr id="2" name="Line 18"/>
        <xdr:cNvSpPr>
          <a:spLocks/>
        </xdr:cNvSpPr>
      </xdr:nvSpPr>
      <xdr:spPr>
        <a:xfrm flipV="1">
          <a:off x="1943100" y="5153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0</xdr:colOff>
      <xdr:row>10</xdr:row>
      <xdr:rowOff>219075</xdr:rowOff>
    </xdr:to>
    <xdr:sp>
      <xdr:nvSpPr>
        <xdr:cNvPr id="3" name="Line 19"/>
        <xdr:cNvSpPr>
          <a:spLocks/>
        </xdr:cNvSpPr>
      </xdr:nvSpPr>
      <xdr:spPr>
        <a:xfrm>
          <a:off x="971550" y="2314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647700</xdr:colOff>
      <xdr:row>11</xdr:row>
      <xdr:rowOff>0</xdr:rowOff>
    </xdr:to>
    <xdr:sp>
      <xdr:nvSpPr>
        <xdr:cNvPr id="4" name="Line 26"/>
        <xdr:cNvSpPr>
          <a:spLocks/>
        </xdr:cNvSpPr>
      </xdr:nvSpPr>
      <xdr:spPr>
        <a:xfrm flipH="1">
          <a:off x="66675" y="2600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19050</xdr:rowOff>
    </xdr:from>
    <xdr:to>
      <xdr:col>2</xdr:col>
      <xdr:colOff>0</xdr:colOff>
      <xdr:row>65</xdr:row>
      <xdr:rowOff>180975</xdr:rowOff>
    </xdr:to>
    <xdr:sp>
      <xdr:nvSpPr>
        <xdr:cNvPr id="5" name="Line 18"/>
        <xdr:cNvSpPr>
          <a:spLocks/>
        </xdr:cNvSpPr>
      </xdr:nvSpPr>
      <xdr:spPr>
        <a:xfrm flipV="1">
          <a:off x="971550" y="147351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0</xdr:rowOff>
    </xdr:from>
    <xdr:to>
      <xdr:col>0</xdr:col>
      <xdr:colOff>638175</xdr:colOff>
      <xdr:row>64</xdr:row>
      <xdr:rowOff>0</xdr:rowOff>
    </xdr:to>
    <xdr:sp>
      <xdr:nvSpPr>
        <xdr:cNvPr id="6" name="Line 18"/>
        <xdr:cNvSpPr>
          <a:spLocks/>
        </xdr:cNvSpPr>
      </xdr:nvSpPr>
      <xdr:spPr>
        <a:xfrm rot="5400000" flipV="1">
          <a:off x="19050" y="1471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50</xdr:row>
      <xdr:rowOff>209550</xdr:rowOff>
    </xdr:from>
    <xdr:to>
      <xdr:col>4</xdr:col>
      <xdr:colOff>0</xdr:colOff>
      <xdr:row>51</xdr:row>
      <xdr:rowOff>219075</xdr:rowOff>
    </xdr:to>
    <xdr:sp>
      <xdr:nvSpPr>
        <xdr:cNvPr id="7" name="Line 18"/>
        <xdr:cNvSpPr>
          <a:spLocks/>
        </xdr:cNvSpPr>
      </xdr:nvSpPr>
      <xdr:spPr>
        <a:xfrm>
          <a:off x="1676400" y="11725275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51</xdr:row>
      <xdr:rowOff>0</xdr:rowOff>
    </xdr:from>
    <xdr:to>
      <xdr:col>4</xdr:col>
      <xdr:colOff>257175</xdr:colOff>
      <xdr:row>51</xdr:row>
      <xdr:rowOff>219075</xdr:rowOff>
    </xdr:to>
    <xdr:sp>
      <xdr:nvSpPr>
        <xdr:cNvPr id="8" name="Line 18"/>
        <xdr:cNvSpPr>
          <a:spLocks/>
        </xdr:cNvSpPr>
      </xdr:nvSpPr>
      <xdr:spPr>
        <a:xfrm flipH="1">
          <a:off x="1962150" y="11744325"/>
          <a:ext cx="238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476250</xdr:colOff>
      <xdr:row>54</xdr:row>
      <xdr:rowOff>200025</xdr:rowOff>
    </xdr:from>
    <xdr:to>
      <xdr:col>3</xdr:col>
      <xdr:colOff>104775</xdr:colOff>
      <xdr:row>56</xdr:row>
      <xdr:rowOff>9525</xdr:rowOff>
    </xdr:to>
    <xdr:sp>
      <xdr:nvSpPr>
        <xdr:cNvPr id="9" name="Arc 29"/>
        <xdr:cNvSpPr>
          <a:spLocks/>
        </xdr:cNvSpPr>
      </xdr:nvSpPr>
      <xdr:spPr>
        <a:xfrm>
          <a:off x="476250" y="12630150"/>
          <a:ext cx="885825" cy="266700"/>
        </a:xfrm>
        <a:custGeom>
          <a:pathLst>
            <a:path fill="none" h="10640" w="21600">
              <a:moveTo>
                <a:pt x="18797" y="0"/>
              </a:moveTo>
              <a:cubicBezTo>
                <a:pt x="20634" y="3245"/>
                <a:pt x="21600" y="6910"/>
                <a:pt x="21600" y="10640"/>
              </a:cubicBezTo>
            </a:path>
            <a:path stroke="0" h="10640" w="21600">
              <a:moveTo>
                <a:pt x="18797" y="0"/>
              </a:moveTo>
              <a:cubicBezTo>
                <a:pt x="20634" y="3245"/>
                <a:pt x="21600" y="6910"/>
                <a:pt x="21600" y="10640"/>
              </a:cubicBezTo>
              <a:lnTo>
                <a:pt x="0" y="10640"/>
              </a:lnTo>
              <a:lnTo>
                <a:pt x="1879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200025</xdr:rowOff>
    </xdr:from>
    <xdr:to>
      <xdr:col>3</xdr:col>
      <xdr:colOff>333375</xdr:colOff>
      <xdr:row>58</xdr:row>
      <xdr:rowOff>133350</xdr:rowOff>
    </xdr:to>
    <xdr:sp>
      <xdr:nvSpPr>
        <xdr:cNvPr id="10" name="Arc 30"/>
        <xdr:cNvSpPr>
          <a:spLocks/>
        </xdr:cNvSpPr>
      </xdr:nvSpPr>
      <xdr:spPr>
        <a:xfrm flipV="1">
          <a:off x="971550" y="12401550"/>
          <a:ext cx="619125" cy="1076325"/>
        </a:xfrm>
        <a:custGeom>
          <a:pathLst>
            <a:path fill="none" h="34749" w="23170">
              <a:moveTo>
                <a:pt x="0" y="57"/>
              </a:moveTo>
              <a:cubicBezTo>
                <a:pt x="522" y="19"/>
                <a:pt x="1046" y="-1"/>
                <a:pt x="1570" y="0"/>
              </a:cubicBezTo>
              <a:cubicBezTo>
                <a:pt x="13499" y="0"/>
                <a:pt x="23170" y="9670"/>
                <a:pt x="23170" y="21600"/>
              </a:cubicBezTo>
              <a:cubicBezTo>
                <a:pt x="23170" y="26354"/>
                <a:pt x="21601" y="30976"/>
                <a:pt x="18706" y="34748"/>
              </a:cubicBezTo>
            </a:path>
            <a:path stroke="0" h="34749" w="23170">
              <a:moveTo>
                <a:pt x="0" y="57"/>
              </a:moveTo>
              <a:cubicBezTo>
                <a:pt x="522" y="19"/>
                <a:pt x="1046" y="-1"/>
                <a:pt x="1570" y="0"/>
              </a:cubicBezTo>
              <a:cubicBezTo>
                <a:pt x="13499" y="0"/>
                <a:pt x="23170" y="9670"/>
                <a:pt x="23170" y="21600"/>
              </a:cubicBezTo>
              <a:cubicBezTo>
                <a:pt x="23170" y="26354"/>
                <a:pt x="21601" y="30976"/>
                <a:pt x="18706" y="34748"/>
              </a:cubicBezTo>
              <a:lnTo>
                <a:pt x="1570" y="21600"/>
              </a:lnTo>
              <a:lnTo>
                <a:pt x="0" y="5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24</xdr:row>
      <xdr:rowOff>95250</xdr:rowOff>
    </xdr:from>
    <xdr:to>
      <xdr:col>8</xdr:col>
      <xdr:colOff>247650</xdr:colOff>
      <xdr:row>36</xdr:row>
      <xdr:rowOff>161925</xdr:rowOff>
    </xdr:to>
    <xdr:pic>
      <xdr:nvPicPr>
        <xdr:cNvPr id="1" name="Picture 3" descr="P"/>
        <xdr:cNvPicPr preferRelativeResize="1">
          <a:picLocks noChangeAspect="1"/>
        </xdr:cNvPicPr>
      </xdr:nvPicPr>
      <xdr:blipFill>
        <a:blip r:embed="rId1"/>
        <a:srcRect l="9226" t="58840" r="3076" b="9448"/>
        <a:stretch>
          <a:fillRect/>
        </a:stretch>
      </xdr:blipFill>
      <xdr:spPr>
        <a:xfrm>
          <a:off x="76200" y="5667375"/>
          <a:ext cx="51720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" name="Line 18"/>
        <xdr:cNvSpPr>
          <a:spLocks/>
        </xdr:cNvSpPr>
      </xdr:nvSpPr>
      <xdr:spPr>
        <a:xfrm flipV="1">
          <a:off x="20478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" name="Line 19"/>
        <xdr:cNvSpPr>
          <a:spLocks/>
        </xdr:cNvSpPr>
      </xdr:nvSpPr>
      <xdr:spPr>
        <a:xfrm>
          <a:off x="35623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zoomScaleSheetLayoutView="100" zoomScalePageLayoutView="0" workbookViewId="0" topLeftCell="A7">
      <selection activeCell="A48" sqref="A48:R48"/>
    </sheetView>
  </sheetViews>
  <sheetFormatPr defaultColWidth="9.00390625" defaultRowHeight="15.75"/>
  <cols>
    <col min="2" max="3" width="3.75390625" style="0" customWidth="1"/>
    <col min="5" max="5" width="4.75390625" style="0" customWidth="1"/>
    <col min="6" max="6" width="6.75390625" style="0" customWidth="1"/>
    <col min="7" max="7" width="11.625" style="0" customWidth="1"/>
    <col min="8" max="8" width="5.625" style="0" customWidth="1"/>
    <col min="9" max="9" width="9.625" style="0" customWidth="1"/>
    <col min="10" max="10" width="8.625" style="0" customWidth="1"/>
    <col min="11" max="12" width="5.625" style="0" customWidth="1"/>
    <col min="13" max="13" width="9.875" style="0" bestFit="1" customWidth="1"/>
    <col min="16" max="16" width="9.375" style="0" customWidth="1"/>
    <col min="18" max="18" width="10.75390625" style="0" customWidth="1"/>
    <col min="20" max="20" width="11.625" style="0" customWidth="1"/>
    <col min="21" max="21" width="6.625" style="0" customWidth="1"/>
    <col min="22" max="22" width="2.625" style="0" customWidth="1"/>
    <col min="23" max="25" width="10.625" style="0" customWidth="1"/>
    <col min="26" max="26" width="12.625" style="0" customWidth="1"/>
    <col min="27" max="27" width="12.25390625" style="0" bestFit="1" customWidth="1"/>
    <col min="29" max="29" width="8.875" style="0" bestFit="1" customWidth="1"/>
  </cols>
  <sheetData>
    <row r="1" ht="20.25">
      <c r="A1" s="121" t="s">
        <v>370</v>
      </c>
    </row>
    <row r="2" ht="20.25">
      <c r="A2" s="121" t="s">
        <v>371</v>
      </c>
    </row>
    <row r="3" ht="20.25">
      <c r="A3" s="121" t="s">
        <v>373</v>
      </c>
    </row>
    <row r="4" ht="20.25">
      <c r="A4" s="121" t="s">
        <v>372</v>
      </c>
    </row>
    <row r="5" ht="20.25">
      <c r="A5" s="121" t="s">
        <v>407</v>
      </c>
    </row>
    <row r="7" spans="1:27" ht="15.75">
      <c r="A7" s="145" t="s">
        <v>368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T7" s="138" t="s">
        <v>197</v>
      </c>
      <c r="U7" s="138"/>
      <c r="V7" s="138"/>
      <c r="W7" s="138"/>
      <c r="X7" s="138"/>
      <c r="Y7" s="138"/>
      <c r="Z7" s="138"/>
      <c r="AA7" s="63"/>
    </row>
    <row r="8" spans="1:27" ht="18" customHeight="1">
      <c r="A8" s="139" t="s">
        <v>294</v>
      </c>
      <c r="B8" s="151"/>
      <c r="C8" s="151"/>
      <c r="D8" s="151"/>
      <c r="E8" s="151"/>
      <c r="F8" s="152"/>
      <c r="G8" s="40" t="s">
        <v>95</v>
      </c>
      <c r="H8" s="155" t="s">
        <v>92</v>
      </c>
      <c r="I8" s="210"/>
      <c r="J8" s="210"/>
      <c r="K8" s="210"/>
      <c r="L8" s="210"/>
      <c r="M8" s="18" t="s">
        <v>93</v>
      </c>
      <c r="N8" s="155" t="s">
        <v>94</v>
      </c>
      <c r="O8" s="207"/>
      <c r="P8" s="207"/>
      <c r="Q8" s="207"/>
      <c r="R8" s="211"/>
      <c r="T8" s="139" t="s">
        <v>195</v>
      </c>
      <c r="U8" s="140"/>
      <c r="V8" s="140"/>
      <c r="W8" s="140"/>
      <c r="X8" s="140"/>
      <c r="Y8" s="141"/>
      <c r="Z8" s="41" t="s">
        <v>196</v>
      </c>
      <c r="AA8" s="63"/>
    </row>
    <row r="9" spans="1:27" ht="18" customHeight="1">
      <c r="A9" s="75"/>
      <c r="B9" s="72"/>
      <c r="C9" s="72"/>
      <c r="D9" s="72"/>
      <c r="E9" s="72"/>
      <c r="F9" s="76"/>
      <c r="G9" s="86" t="s">
        <v>0</v>
      </c>
      <c r="H9" s="154" t="s">
        <v>96</v>
      </c>
      <c r="I9" s="154"/>
      <c r="J9" s="154"/>
      <c r="K9" s="154"/>
      <c r="L9" s="154"/>
      <c r="M9" s="6">
        <v>38</v>
      </c>
      <c r="N9" s="161" t="s">
        <v>17</v>
      </c>
      <c r="O9" s="161"/>
      <c r="P9" s="161"/>
      <c r="Q9" s="161"/>
      <c r="R9" s="161"/>
      <c r="T9" s="42" t="s">
        <v>191</v>
      </c>
      <c r="U9" s="37"/>
      <c r="V9" s="37"/>
      <c r="W9" s="37"/>
      <c r="X9" s="37"/>
      <c r="Y9" s="34"/>
      <c r="Z9" s="41">
        <v>0.95</v>
      </c>
      <c r="AA9" s="63"/>
    </row>
    <row r="10" spans="1:27" ht="18" customHeight="1">
      <c r="A10" s="77"/>
      <c r="B10" s="16"/>
      <c r="C10" s="16" t="str">
        <f>"Px = "&amp;M44&amp;" Н"</f>
        <v>Px = 4588,3 Н</v>
      </c>
      <c r="D10" s="16"/>
      <c r="E10" s="16"/>
      <c r="F10" s="78"/>
      <c r="G10" s="46" t="s">
        <v>44</v>
      </c>
      <c r="H10" s="154" t="s">
        <v>96</v>
      </c>
      <c r="I10" s="154"/>
      <c r="J10" s="154"/>
      <c r="K10" s="154"/>
      <c r="L10" s="154"/>
      <c r="M10" s="6">
        <v>4</v>
      </c>
      <c r="N10" s="161" t="s">
        <v>59</v>
      </c>
      <c r="O10" s="161"/>
      <c r="P10" s="161"/>
      <c r="Q10" s="161"/>
      <c r="R10" s="161"/>
      <c r="T10" s="42" t="s">
        <v>194</v>
      </c>
      <c r="U10" s="37"/>
      <c r="V10" s="37"/>
      <c r="W10" s="37"/>
      <c r="X10" s="37"/>
      <c r="Y10" s="34"/>
      <c r="Z10" s="41">
        <v>0.9</v>
      </c>
      <c r="AA10" s="63"/>
    </row>
    <row r="11" spans="1:27" ht="18" customHeight="1" thickBot="1">
      <c r="A11" s="77" t="str">
        <f>"Py = "&amp;M45&amp;" Н"</f>
        <v>Py = 36,8 Н</v>
      </c>
      <c r="B11" s="83"/>
      <c r="C11" s="83"/>
      <c r="D11" s="16"/>
      <c r="E11" s="16"/>
      <c r="F11" s="78"/>
      <c r="G11" s="46" t="s">
        <v>1</v>
      </c>
      <c r="H11" s="154" t="s">
        <v>96</v>
      </c>
      <c r="I11" s="154"/>
      <c r="J11" s="154"/>
      <c r="K11" s="154"/>
      <c r="L11" s="154"/>
      <c r="M11" s="6">
        <v>3.5</v>
      </c>
      <c r="N11" s="161" t="s">
        <v>104</v>
      </c>
      <c r="O11" s="161"/>
      <c r="P11" s="161"/>
      <c r="Q11" s="161"/>
      <c r="R11" s="161"/>
      <c r="T11" s="42" t="s">
        <v>192</v>
      </c>
      <c r="U11" s="37"/>
      <c r="V11" s="37"/>
      <c r="W11" s="37"/>
      <c r="X11" s="37"/>
      <c r="Y11" s="34"/>
      <c r="Z11" s="41">
        <v>0.7</v>
      </c>
      <c r="AA11" s="63"/>
    </row>
    <row r="12" spans="1:26" ht="18" customHeight="1" thickTop="1">
      <c r="A12" s="77"/>
      <c r="B12" s="16" t="s">
        <v>288</v>
      </c>
      <c r="C12" s="84"/>
      <c r="D12" s="16"/>
      <c r="E12" s="16"/>
      <c r="F12" s="78"/>
      <c r="G12" s="46" t="s">
        <v>45</v>
      </c>
      <c r="H12" s="154" t="s">
        <v>96</v>
      </c>
      <c r="I12" s="154"/>
      <c r="J12" s="154"/>
      <c r="K12" s="154"/>
      <c r="L12" s="154"/>
      <c r="M12" s="6">
        <v>110</v>
      </c>
      <c r="N12" s="161" t="s">
        <v>60</v>
      </c>
      <c r="O12" s="161"/>
      <c r="P12" s="161"/>
      <c r="Q12" s="161"/>
      <c r="R12" s="161"/>
      <c r="T12" s="42" t="s">
        <v>193</v>
      </c>
      <c r="U12" s="37"/>
      <c r="V12" s="37"/>
      <c r="W12" s="37"/>
      <c r="X12" s="37"/>
      <c r="Y12" s="34"/>
      <c r="Z12" s="41">
        <v>1</v>
      </c>
    </row>
    <row r="13" spans="1:27" ht="18" customHeight="1">
      <c r="A13" s="77"/>
      <c r="B13" s="16"/>
      <c r="C13" s="70"/>
      <c r="D13" s="16"/>
      <c r="E13" s="16"/>
      <c r="F13" s="78"/>
      <c r="G13" s="87" t="s">
        <v>27</v>
      </c>
      <c r="H13" s="154" t="s">
        <v>96</v>
      </c>
      <c r="I13" s="154"/>
      <c r="J13" s="154"/>
      <c r="K13" s="154"/>
      <c r="L13" s="154"/>
      <c r="M13" s="6">
        <v>0.219</v>
      </c>
      <c r="N13" s="161" t="s">
        <v>13</v>
      </c>
      <c r="O13" s="161"/>
      <c r="P13" s="161"/>
      <c r="Q13" s="161"/>
      <c r="R13" s="161"/>
      <c r="W13" s="153"/>
      <c r="X13" s="153"/>
      <c r="Y13" s="153"/>
      <c r="Z13" s="153"/>
      <c r="AA13" s="153"/>
    </row>
    <row r="14" spans="1:27" ht="18" customHeight="1">
      <c r="A14" s="77"/>
      <c r="B14" s="16"/>
      <c r="C14" s="70"/>
      <c r="D14" s="16"/>
      <c r="E14" s="16"/>
      <c r="F14" s="78"/>
      <c r="G14" s="86" t="s">
        <v>23</v>
      </c>
      <c r="H14" s="155" t="s">
        <v>96</v>
      </c>
      <c r="I14" s="207"/>
      <c r="J14" s="207"/>
      <c r="K14" s="207"/>
      <c r="L14" s="211"/>
      <c r="M14" s="6">
        <v>0.006</v>
      </c>
      <c r="N14" s="159" t="s">
        <v>24</v>
      </c>
      <c r="O14" s="159"/>
      <c r="P14" s="159"/>
      <c r="Q14" s="159"/>
      <c r="R14" s="159"/>
      <c r="X14" s="62"/>
      <c r="AA14" s="63"/>
    </row>
    <row r="15" spans="1:27" ht="18" customHeight="1">
      <c r="A15" s="77"/>
      <c r="B15" s="16"/>
      <c r="C15" s="88" t="s">
        <v>292</v>
      </c>
      <c r="D15" s="16" t="str">
        <f>M12&amp;" м"</f>
        <v>110 м</v>
      </c>
      <c r="E15" s="16"/>
      <c r="F15" s="78"/>
      <c r="G15" s="87" t="s">
        <v>39</v>
      </c>
      <c r="H15" s="155" t="s">
        <v>124</v>
      </c>
      <c r="I15" s="207"/>
      <c r="J15" s="207"/>
      <c r="K15" s="207"/>
      <c r="L15" s="211"/>
      <c r="M15" s="32">
        <f>0.05*(M13^4-(M13-2*M14)^4)*10^5</f>
        <v>2.3211035999999985</v>
      </c>
      <c r="N15" s="159" t="s">
        <v>38</v>
      </c>
      <c r="O15" s="159"/>
      <c r="P15" s="159"/>
      <c r="Q15" s="159"/>
      <c r="R15" s="159"/>
      <c r="X15" s="62"/>
      <c r="AA15" s="63"/>
    </row>
    <row r="16" spans="1:27" ht="18" customHeight="1">
      <c r="A16" s="77"/>
      <c r="B16" s="16"/>
      <c r="C16" s="70"/>
      <c r="D16" s="16"/>
      <c r="E16" s="16"/>
      <c r="F16" s="78"/>
      <c r="G16" s="86" t="s">
        <v>261</v>
      </c>
      <c r="H16" s="154" t="s">
        <v>96</v>
      </c>
      <c r="I16" s="154"/>
      <c r="J16" s="154"/>
      <c r="K16" s="154"/>
      <c r="L16" s="154"/>
      <c r="M16" s="7" t="str">
        <f>IF(M9&lt;=20,0.0000118,IF(M9&lt;=75,0.000012,IF(M9&lt;=100,0.0000122,IF(M9&lt;=125,0.0000124,IF(M9&lt;=150,0.0000125,IF(M9&lt;=175,0.0000127,IF(M9&lt;=200,0.0000128,IF(M9&lt;=225,0.000013,""))))))))&amp;IF(M9&gt;225,IF(M9&lt;=250,0.0000131,IF(M9&lt;=275,0.0000132,IF(M9&lt;=300,0.0000134,IF(M9&lt;=325,0.0000135,IF(M9&lt;=350,0.0000136,IF(M9&lt;=375,0.0000137,IF(M9&lt;=400,0.0000138,""))))))),"")</f>
        <v>0,000012</v>
      </c>
      <c r="N16" s="161" t="s">
        <v>5</v>
      </c>
      <c r="O16" s="161"/>
      <c r="P16" s="161"/>
      <c r="Q16" s="161"/>
      <c r="R16" s="161"/>
      <c r="X16" s="62"/>
      <c r="Z16" s="61"/>
      <c r="AA16" s="63"/>
    </row>
    <row r="17" spans="1:18" ht="18" customHeight="1">
      <c r="A17" s="77"/>
      <c r="B17" s="16"/>
      <c r="C17" s="70"/>
      <c r="D17" s="16"/>
      <c r="E17" s="16"/>
      <c r="F17" s="78"/>
      <c r="G17" s="87" t="s">
        <v>8</v>
      </c>
      <c r="H17" s="139" t="s">
        <v>118</v>
      </c>
      <c r="I17" s="140"/>
      <c r="J17" s="140"/>
      <c r="K17" s="140"/>
      <c r="L17" s="141"/>
      <c r="M17" s="8">
        <f>M10/(M10+M12)</f>
        <v>0.03508771929824561</v>
      </c>
      <c r="N17" s="161" t="s">
        <v>117</v>
      </c>
      <c r="O17" s="161"/>
      <c r="P17" s="161"/>
      <c r="Q17" s="161"/>
      <c r="R17" s="161"/>
    </row>
    <row r="18" spans="1:18" ht="18" customHeight="1">
      <c r="A18" s="77"/>
      <c r="B18" s="16"/>
      <c r="C18" s="70"/>
      <c r="D18" s="16"/>
      <c r="E18" s="16"/>
      <c r="F18" s="78"/>
      <c r="G18" s="87" t="s">
        <v>54</v>
      </c>
      <c r="H18" s="139" t="s">
        <v>119</v>
      </c>
      <c r="I18" s="140"/>
      <c r="J18" s="140"/>
      <c r="K18" s="140"/>
      <c r="L18" s="141"/>
      <c r="M18" s="8">
        <f>(M10+M12)/M11</f>
        <v>32.57142857142857</v>
      </c>
      <c r="N18" s="161" t="s">
        <v>117</v>
      </c>
      <c r="O18" s="161"/>
      <c r="P18" s="161"/>
      <c r="Q18" s="161"/>
      <c r="R18" s="161"/>
    </row>
    <row r="19" spans="1:27" ht="18" customHeight="1" thickBot="1">
      <c r="A19" s="77"/>
      <c r="B19" s="16" t="s">
        <v>56</v>
      </c>
      <c r="C19" s="89" t="s">
        <v>295</v>
      </c>
      <c r="D19" s="85" t="str">
        <f>M11&amp;" м"</f>
        <v>3,5 м</v>
      </c>
      <c r="E19" s="16" t="s">
        <v>57</v>
      </c>
      <c r="F19" s="78"/>
      <c r="G19" s="87" t="s">
        <v>16</v>
      </c>
      <c r="H19" s="154" t="s">
        <v>96</v>
      </c>
      <c r="I19" s="154"/>
      <c r="J19" s="154"/>
      <c r="K19" s="154"/>
      <c r="L19" s="154"/>
      <c r="M19" s="28" t="str">
        <f>IF(M9&lt;=20,2.05*9.81*10^4,IF(M9&lt;=75,1.99*9.81*10^4,IF(M9&lt;=100,1.975*9.81*10^4,IF(M9&lt;=125,1.95*9.81*10^4,IF(M9&lt;=150,1.93*9.81*10^4,IF(M9&lt;=175,1.915*9.81*10^4,IF(M9&lt;=200,1.875*9.81*10^4,IF(M9&lt;=225,1.847*9.81*10^4,""))))))))&amp;IF(M9&gt;225,IF(M9&lt;=250,1.82*9.81*10^4,IF(M9&lt;=275,1.79*9.81*10^4,IF(M9&lt;=300,1.755*9.81*10^4,IF(M9&lt;=325,1.727*9.81*10^4,IF(M9&lt;=350,1.695*9.81*10^4,IF(M9&lt;=375,1.665*9.81*10^4,IF(M9&lt;=400,1.63*9.81*10^4,""))))))),"")</f>
        <v>195219</v>
      </c>
      <c r="N19" s="161" t="s">
        <v>14</v>
      </c>
      <c r="O19" s="161"/>
      <c r="P19" s="161"/>
      <c r="Q19" s="161"/>
      <c r="R19" s="161"/>
      <c r="W19" s="153"/>
      <c r="X19" s="153"/>
      <c r="Y19" s="153"/>
      <c r="Z19" s="153"/>
      <c r="AA19" s="153"/>
    </row>
    <row r="20" spans="1:18" ht="18" customHeight="1" thickTop="1">
      <c r="A20" s="77"/>
      <c r="B20" s="16"/>
      <c r="C20" s="16"/>
      <c r="D20" s="16"/>
      <c r="E20" s="70"/>
      <c r="F20" s="16"/>
      <c r="G20" s="182" t="s">
        <v>53</v>
      </c>
      <c r="H20" s="215" t="s">
        <v>109</v>
      </c>
      <c r="I20" s="207" t="s">
        <v>121</v>
      </c>
      <c r="J20" s="207"/>
      <c r="K20" s="207"/>
      <c r="L20" s="211"/>
      <c r="M20" s="184">
        <f>3*(M18^3+4*M18^2+3-6*M17*(1-M17)*(2*M18^2-M18+1))/(M18*(1+M18)*(1-3*M17+3*M17^2)*(1+3*M18*M17-3*M18*M17^2))</f>
        <v>27.201802457523147</v>
      </c>
      <c r="N20" s="195" t="s">
        <v>120</v>
      </c>
      <c r="O20" s="196"/>
      <c r="P20" s="196"/>
      <c r="Q20" s="196"/>
      <c r="R20" s="197"/>
    </row>
    <row r="21" spans="1:18" ht="18" customHeight="1">
      <c r="A21" s="77"/>
      <c r="B21" s="16"/>
      <c r="E21" s="70" t="s">
        <v>293</v>
      </c>
      <c r="F21" s="16" t="str">
        <f>M10&amp;" м"</f>
        <v>4 м</v>
      </c>
      <c r="G21" s="183"/>
      <c r="H21" s="192"/>
      <c r="I21" s="207" t="s">
        <v>125</v>
      </c>
      <c r="J21" s="207"/>
      <c r="K21" s="207"/>
      <c r="L21" s="211"/>
      <c r="M21" s="185"/>
      <c r="N21" s="198"/>
      <c r="O21" s="199"/>
      <c r="P21" s="199"/>
      <c r="Q21" s="199"/>
      <c r="R21" s="200"/>
    </row>
    <row r="22" spans="1:18" ht="18" customHeight="1" thickBot="1">
      <c r="A22" s="77"/>
      <c r="B22" s="16"/>
      <c r="C22" s="16"/>
      <c r="D22" s="83"/>
      <c r="E22" s="71" t="s">
        <v>58</v>
      </c>
      <c r="F22" s="78"/>
      <c r="G22" s="213" t="s">
        <v>126</v>
      </c>
      <c r="H22" s="215" t="s">
        <v>127</v>
      </c>
      <c r="I22" s="207" t="s">
        <v>128</v>
      </c>
      <c r="J22" s="207"/>
      <c r="K22" s="207"/>
      <c r="L22" s="211"/>
      <c r="M22" s="184">
        <f>3*(3*M18^3+4*M18+1+6*M17*M18^2*(1-M17)*(2-M18+M18^2))/(M18^3*(1+M18)*(1-3*M17+3*M17^2)*(1+3*M18*M17-3*M18*M17^2))</f>
        <v>0.21770117853583898</v>
      </c>
      <c r="N22" s="195" t="s">
        <v>120</v>
      </c>
      <c r="O22" s="196"/>
      <c r="P22" s="196"/>
      <c r="Q22" s="196"/>
      <c r="R22" s="197"/>
    </row>
    <row r="23" spans="1:18" ht="18" customHeight="1" thickTop="1">
      <c r="A23" s="77"/>
      <c r="B23" s="16"/>
      <c r="C23" s="16"/>
      <c r="D23" s="16"/>
      <c r="E23" s="16"/>
      <c r="F23" s="73" t="s">
        <v>61</v>
      </c>
      <c r="G23" s="214"/>
      <c r="H23" s="192"/>
      <c r="I23" s="207" t="s">
        <v>129</v>
      </c>
      <c r="J23" s="207"/>
      <c r="K23" s="207"/>
      <c r="L23" s="211"/>
      <c r="M23" s="212"/>
      <c r="N23" s="198"/>
      <c r="O23" s="199"/>
      <c r="P23" s="199"/>
      <c r="Q23" s="199"/>
      <c r="R23" s="200"/>
    </row>
    <row r="24" spans="1:18" ht="18" customHeight="1">
      <c r="A24" s="77"/>
      <c r="B24" s="16"/>
      <c r="C24" s="16"/>
      <c r="D24" s="16" t="str">
        <f>"Px = "&amp;M44&amp;" Н"</f>
        <v>Px = 4588,3 Н</v>
      </c>
      <c r="E24" s="16"/>
      <c r="F24" s="78"/>
      <c r="G24" s="213" t="s">
        <v>130</v>
      </c>
      <c r="H24" s="215" t="s">
        <v>134</v>
      </c>
      <c r="I24" s="19" t="s">
        <v>138</v>
      </c>
      <c r="J24" s="217" t="s">
        <v>142</v>
      </c>
      <c r="K24" s="207" t="s">
        <v>141</v>
      </c>
      <c r="L24" s="211"/>
      <c r="M24" s="184">
        <f>M22*(2*M18*M17+M18^2)/(2*(1+M18))-M20*(1+2*M18-2*M18*M17)/(2*(1+M18))</f>
        <v>-22.42342835640938</v>
      </c>
      <c r="N24" s="195" t="s">
        <v>120</v>
      </c>
      <c r="O24" s="196"/>
      <c r="P24" s="196"/>
      <c r="Q24" s="196"/>
      <c r="R24" s="197"/>
    </row>
    <row r="25" spans="1:18" ht="18" customHeight="1">
      <c r="A25" s="77"/>
      <c r="B25" s="16"/>
      <c r="C25" s="16"/>
      <c r="D25" s="16"/>
      <c r="E25" s="16"/>
      <c r="F25" s="78"/>
      <c r="G25" s="214"/>
      <c r="H25" s="192"/>
      <c r="I25" s="30" t="s">
        <v>139</v>
      </c>
      <c r="J25" s="218"/>
      <c r="K25" s="217" t="s">
        <v>139</v>
      </c>
      <c r="L25" s="219"/>
      <c r="M25" s="212"/>
      <c r="N25" s="198"/>
      <c r="O25" s="199"/>
      <c r="P25" s="199"/>
      <c r="Q25" s="199"/>
      <c r="R25" s="200"/>
    </row>
    <row r="26" spans="1:18" ht="18" customHeight="1">
      <c r="A26" s="77"/>
      <c r="B26" s="16"/>
      <c r="C26" s="16"/>
      <c r="D26" s="16"/>
      <c r="E26" s="16"/>
      <c r="F26" s="78"/>
      <c r="G26" s="213" t="s">
        <v>131</v>
      </c>
      <c r="H26" s="215" t="s">
        <v>135</v>
      </c>
      <c r="I26" s="19" t="s">
        <v>143</v>
      </c>
      <c r="J26" s="217" t="s">
        <v>144</v>
      </c>
      <c r="K26" s="207" t="s">
        <v>145</v>
      </c>
      <c r="L26" s="211"/>
      <c r="M26" s="184">
        <f>M20*(1+2*M18*M17)/(2*(1+M18))-M22*(M18^2+2*M18-2*M18*M17)/(2*(1+M18))</f>
        <v>-2.3124642854821307</v>
      </c>
      <c r="N26" s="195" t="s">
        <v>120</v>
      </c>
      <c r="O26" s="196"/>
      <c r="P26" s="196"/>
      <c r="Q26" s="196"/>
      <c r="R26" s="197"/>
    </row>
    <row r="27" spans="1:18" ht="18" customHeight="1">
      <c r="A27" s="77"/>
      <c r="B27" s="16"/>
      <c r="C27" s="16"/>
      <c r="D27" s="16"/>
      <c r="E27" s="16"/>
      <c r="F27" s="78"/>
      <c r="G27" s="214"/>
      <c r="H27" s="192"/>
      <c r="I27" s="30" t="s">
        <v>139</v>
      </c>
      <c r="J27" s="218"/>
      <c r="K27" s="217" t="s">
        <v>139</v>
      </c>
      <c r="L27" s="219"/>
      <c r="M27" s="212"/>
      <c r="N27" s="198"/>
      <c r="O27" s="199"/>
      <c r="P27" s="199"/>
      <c r="Q27" s="199"/>
      <c r="R27" s="200"/>
    </row>
    <row r="28" spans="1:18" ht="18" customHeight="1">
      <c r="A28" s="77"/>
      <c r="B28" s="16"/>
      <c r="C28" s="16"/>
      <c r="D28" s="16"/>
      <c r="E28" s="16"/>
      <c r="F28" s="78"/>
      <c r="G28" s="213" t="s">
        <v>132</v>
      </c>
      <c r="H28" s="215" t="s">
        <v>136</v>
      </c>
      <c r="I28" s="19" t="s">
        <v>146</v>
      </c>
      <c r="J28" s="217" t="s">
        <v>142</v>
      </c>
      <c r="K28" s="207" t="s">
        <v>141</v>
      </c>
      <c r="L28" s="211"/>
      <c r="M28" s="184">
        <f>M22*(M18^2-2*M18^2*M17)/(2*(1+M18))-M20*(1+2*M18-2*M18*M17)/(2*(1+M18))</f>
        <v>-22.672229703307483</v>
      </c>
      <c r="N28" s="195" t="s">
        <v>120</v>
      </c>
      <c r="O28" s="196"/>
      <c r="P28" s="196"/>
      <c r="Q28" s="196"/>
      <c r="R28" s="197"/>
    </row>
    <row r="29" spans="1:18" ht="18" customHeight="1">
      <c r="A29" s="77"/>
      <c r="B29" s="16"/>
      <c r="C29" s="16"/>
      <c r="D29" s="16"/>
      <c r="E29" s="16"/>
      <c r="F29" s="78"/>
      <c r="G29" s="214"/>
      <c r="H29" s="192"/>
      <c r="I29" s="30" t="s">
        <v>139</v>
      </c>
      <c r="J29" s="218"/>
      <c r="K29" s="217" t="s">
        <v>139</v>
      </c>
      <c r="L29" s="219"/>
      <c r="M29" s="212"/>
      <c r="N29" s="198"/>
      <c r="O29" s="199"/>
      <c r="P29" s="199"/>
      <c r="Q29" s="199"/>
      <c r="R29" s="200"/>
    </row>
    <row r="30" spans="1:18" ht="18" customHeight="1">
      <c r="A30" s="77"/>
      <c r="B30" s="16"/>
      <c r="C30" s="16"/>
      <c r="D30" s="16"/>
      <c r="E30" s="16"/>
      <c r="F30" s="78"/>
      <c r="G30" s="213" t="s">
        <v>133</v>
      </c>
      <c r="H30" s="215" t="s">
        <v>137</v>
      </c>
      <c r="I30" s="19" t="s">
        <v>143</v>
      </c>
      <c r="J30" s="217" t="s">
        <v>144</v>
      </c>
      <c r="K30" s="207" t="s">
        <v>146</v>
      </c>
      <c r="L30" s="211"/>
      <c r="M30" s="184">
        <f>M20*(1+2*M18*M17)/(2*(1+M18))-M22*(M18^2-2*M18^2*M17)/(2*(1+M18))</f>
        <v>-1.867268683904889</v>
      </c>
      <c r="N30" s="195" t="s">
        <v>120</v>
      </c>
      <c r="O30" s="196"/>
      <c r="P30" s="196"/>
      <c r="Q30" s="196"/>
      <c r="R30" s="197"/>
    </row>
    <row r="31" spans="1:18" ht="18" customHeight="1" thickBot="1">
      <c r="A31" s="77"/>
      <c r="B31" s="16"/>
      <c r="C31" s="16"/>
      <c r="D31" s="16"/>
      <c r="E31" s="16"/>
      <c r="F31" s="78"/>
      <c r="G31" s="214"/>
      <c r="H31" s="192"/>
      <c r="I31" s="29" t="s">
        <v>139</v>
      </c>
      <c r="J31" s="220"/>
      <c r="K31" s="207" t="s">
        <v>139</v>
      </c>
      <c r="L31" s="211"/>
      <c r="M31" s="212"/>
      <c r="N31" s="198"/>
      <c r="O31" s="199"/>
      <c r="P31" s="199"/>
      <c r="Q31" s="199"/>
      <c r="R31" s="200"/>
    </row>
    <row r="32" spans="1:18" ht="18" customHeight="1" thickBot="1">
      <c r="A32" s="77"/>
      <c r="B32" s="16"/>
      <c r="C32" s="16"/>
      <c r="D32" s="16"/>
      <c r="E32" s="16"/>
      <c r="F32" s="78"/>
      <c r="G32" s="216" t="s">
        <v>46</v>
      </c>
      <c r="H32" s="173" t="s">
        <v>147</v>
      </c>
      <c r="I32" s="174"/>
      <c r="J32" s="174"/>
      <c r="K32" s="174"/>
      <c r="L32" s="174"/>
      <c r="M32" s="178">
        <f>ABS(M24*M16*M19*M13*M9/(2*M11))</f>
        <v>62.45036983594088</v>
      </c>
      <c r="N32" s="180" t="s">
        <v>49</v>
      </c>
      <c r="O32" s="181"/>
      <c r="P32" s="181"/>
      <c r="Q32" s="181"/>
      <c r="R32" s="181"/>
    </row>
    <row r="33" spans="1:18" ht="18" customHeight="1" thickBot="1">
      <c r="A33" s="77"/>
      <c r="B33" s="16"/>
      <c r="C33" s="16"/>
      <c r="D33" s="16"/>
      <c r="E33" s="16"/>
      <c r="F33" s="78"/>
      <c r="G33" s="160"/>
      <c r="H33" s="175"/>
      <c r="I33" s="176"/>
      <c r="J33" s="176"/>
      <c r="K33" s="176"/>
      <c r="L33" s="177"/>
      <c r="M33" s="179"/>
      <c r="N33" s="180"/>
      <c r="O33" s="181"/>
      <c r="P33" s="181"/>
      <c r="Q33" s="181"/>
      <c r="R33" s="181"/>
    </row>
    <row r="34" spans="1:18" ht="18" customHeight="1" thickBot="1">
      <c r="A34" s="77"/>
      <c r="B34" s="16"/>
      <c r="C34" s="16"/>
      <c r="D34" s="16"/>
      <c r="E34" s="16"/>
      <c r="F34" s="78"/>
      <c r="G34" s="216" t="s">
        <v>47</v>
      </c>
      <c r="H34" s="173" t="s">
        <v>148</v>
      </c>
      <c r="I34" s="174"/>
      <c r="J34" s="174"/>
      <c r="K34" s="174"/>
      <c r="L34" s="174"/>
      <c r="M34" s="178">
        <f>ABS(M26*M16*M19*M13*M9/(2*M11))</f>
        <v>6.440328729638049</v>
      </c>
      <c r="N34" s="180" t="s">
        <v>48</v>
      </c>
      <c r="O34" s="181"/>
      <c r="P34" s="181"/>
      <c r="Q34" s="181"/>
      <c r="R34" s="181"/>
    </row>
    <row r="35" spans="1:18" ht="18" customHeight="1" thickBot="1">
      <c r="A35" s="77"/>
      <c r="B35" s="16"/>
      <c r="C35" s="16"/>
      <c r="D35" s="16"/>
      <c r="E35" s="16"/>
      <c r="F35" s="78"/>
      <c r="G35" s="160"/>
      <c r="H35" s="175"/>
      <c r="I35" s="176"/>
      <c r="J35" s="176"/>
      <c r="K35" s="176"/>
      <c r="L35" s="177"/>
      <c r="M35" s="179"/>
      <c r="N35" s="180"/>
      <c r="O35" s="181"/>
      <c r="P35" s="181"/>
      <c r="Q35" s="181"/>
      <c r="R35" s="181"/>
    </row>
    <row r="36" spans="1:18" ht="18" customHeight="1" thickBot="1">
      <c r="A36" s="77"/>
      <c r="B36" s="16"/>
      <c r="C36" s="16"/>
      <c r="D36" s="16"/>
      <c r="E36" s="16"/>
      <c r="F36" s="78"/>
      <c r="G36" s="216" t="s">
        <v>50</v>
      </c>
      <c r="H36" s="173" t="s">
        <v>149</v>
      </c>
      <c r="I36" s="174"/>
      <c r="J36" s="174"/>
      <c r="K36" s="174"/>
      <c r="L36" s="174"/>
      <c r="M36" s="178">
        <f>ABS(M28*M16*M19*M13*M9/(2*M11))</f>
        <v>63.143294034796746</v>
      </c>
      <c r="N36" s="180" t="s">
        <v>51</v>
      </c>
      <c r="O36" s="181"/>
      <c r="P36" s="181"/>
      <c r="Q36" s="181"/>
      <c r="R36" s="181"/>
    </row>
    <row r="37" spans="1:18" ht="18" customHeight="1" thickBot="1">
      <c r="A37" s="77"/>
      <c r="B37" s="16"/>
      <c r="C37" s="16"/>
      <c r="D37" s="16"/>
      <c r="E37" s="16"/>
      <c r="F37" s="78"/>
      <c r="G37" s="160"/>
      <c r="H37" s="175"/>
      <c r="I37" s="176"/>
      <c r="J37" s="176"/>
      <c r="K37" s="176"/>
      <c r="L37" s="177"/>
      <c r="M37" s="179"/>
      <c r="N37" s="180"/>
      <c r="O37" s="181"/>
      <c r="P37" s="181"/>
      <c r="Q37" s="181"/>
      <c r="R37" s="181"/>
    </row>
    <row r="38" spans="1:18" ht="18" customHeight="1" thickBot="1">
      <c r="A38" s="77"/>
      <c r="B38" s="16"/>
      <c r="C38" s="16"/>
      <c r="D38" s="16"/>
      <c r="E38" s="16"/>
      <c r="F38" s="78"/>
      <c r="G38" s="216" t="s">
        <v>55</v>
      </c>
      <c r="H38" s="173" t="s">
        <v>150</v>
      </c>
      <c r="I38" s="174"/>
      <c r="J38" s="174"/>
      <c r="K38" s="174"/>
      <c r="L38" s="174"/>
      <c r="M38" s="178">
        <f>ABS(M30*M16*M19*M13*M9/(2*M11))</f>
        <v>5.200436705727888</v>
      </c>
      <c r="N38" s="180" t="s">
        <v>52</v>
      </c>
      <c r="O38" s="181"/>
      <c r="P38" s="181"/>
      <c r="Q38" s="181"/>
      <c r="R38" s="181"/>
    </row>
    <row r="39" spans="1:18" ht="18" customHeight="1" thickBot="1">
      <c r="A39" s="77"/>
      <c r="B39" s="16"/>
      <c r="C39" s="16"/>
      <c r="D39" s="16"/>
      <c r="E39" s="16"/>
      <c r="F39" s="78"/>
      <c r="G39" s="160"/>
      <c r="H39" s="175"/>
      <c r="I39" s="176"/>
      <c r="J39" s="176"/>
      <c r="K39" s="176"/>
      <c r="L39" s="177"/>
      <c r="M39" s="179"/>
      <c r="N39" s="180"/>
      <c r="O39" s="181"/>
      <c r="P39" s="181"/>
      <c r="Q39" s="181"/>
      <c r="R39" s="181"/>
    </row>
    <row r="40" spans="1:18" ht="18" customHeight="1">
      <c r="A40" s="77"/>
      <c r="B40" s="16"/>
      <c r="C40" s="16"/>
      <c r="D40" s="16"/>
      <c r="E40" s="16"/>
      <c r="F40" s="78"/>
      <c r="G40" s="221" t="s">
        <v>189</v>
      </c>
      <c r="H40" s="164" t="s">
        <v>191</v>
      </c>
      <c r="I40" s="165"/>
      <c r="J40" s="165"/>
      <c r="K40" s="165"/>
      <c r="L40" s="166"/>
      <c r="M40" s="170">
        <f>VLOOKUP(H40,T9:Z12,7,FALSE)</f>
        <v>0.95</v>
      </c>
      <c r="N40" s="161" t="s">
        <v>190</v>
      </c>
      <c r="O40" s="161"/>
      <c r="P40" s="161"/>
      <c r="Q40" s="161"/>
      <c r="R40" s="161"/>
    </row>
    <row r="41" spans="1:18" ht="18" customHeight="1">
      <c r="A41" s="77"/>
      <c r="B41" s="16"/>
      <c r="C41" s="16"/>
      <c r="D41" s="16"/>
      <c r="E41" s="16"/>
      <c r="F41" s="78"/>
      <c r="G41" s="199"/>
      <c r="H41" s="167"/>
      <c r="I41" s="168"/>
      <c r="J41" s="168"/>
      <c r="K41" s="168"/>
      <c r="L41" s="169"/>
      <c r="M41" s="222"/>
      <c r="N41" s="161"/>
      <c r="O41" s="161"/>
      <c r="P41" s="161"/>
      <c r="Q41" s="161"/>
      <c r="R41" s="161"/>
    </row>
    <row r="42" spans="1:18" ht="18" customHeight="1" thickBot="1">
      <c r="A42" s="77"/>
      <c r="B42" s="16"/>
      <c r="C42" s="16"/>
      <c r="D42" s="16"/>
      <c r="E42" s="16"/>
      <c r="F42" s="78"/>
      <c r="G42" s="87" t="s">
        <v>198</v>
      </c>
      <c r="H42" s="154" t="s">
        <v>105</v>
      </c>
      <c r="I42" s="154"/>
      <c r="J42" s="154"/>
      <c r="K42" s="154"/>
      <c r="L42" s="155"/>
      <c r="M42" s="44">
        <v>147</v>
      </c>
      <c r="N42" s="156" t="s">
        <v>200</v>
      </c>
      <c r="O42" s="151"/>
      <c r="P42" s="151"/>
      <c r="Q42" s="151"/>
      <c r="R42" s="152"/>
    </row>
    <row r="43" spans="1:18" ht="19.5" thickBot="1">
      <c r="A43" s="77"/>
      <c r="B43" s="16"/>
      <c r="C43" s="16"/>
      <c r="D43" s="16"/>
      <c r="E43" s="16"/>
      <c r="F43" s="78"/>
      <c r="G43" s="86" t="s">
        <v>18</v>
      </c>
      <c r="H43" s="157" t="s">
        <v>199</v>
      </c>
      <c r="I43" s="154"/>
      <c r="J43" s="154"/>
      <c r="K43" s="154"/>
      <c r="L43" s="155"/>
      <c r="M43" s="31">
        <f>M42*M40</f>
        <v>139.65</v>
      </c>
      <c r="N43" s="158" t="s">
        <v>42</v>
      </c>
      <c r="O43" s="159"/>
      <c r="P43" s="159"/>
      <c r="Q43" s="159"/>
      <c r="R43" s="159"/>
    </row>
    <row r="44" spans="1:18" ht="19.5" thickBot="1">
      <c r="A44" s="77"/>
      <c r="B44" s="16"/>
      <c r="C44" s="16"/>
      <c r="D44" s="16"/>
      <c r="E44" s="16"/>
      <c r="F44" s="78"/>
      <c r="G44" s="87" t="s">
        <v>152</v>
      </c>
      <c r="H44" s="155" t="s">
        <v>151</v>
      </c>
      <c r="I44" s="207"/>
      <c r="J44" s="207"/>
      <c r="K44" s="207"/>
      <c r="L44" s="208"/>
      <c r="M44" s="31">
        <f>ROUNDUP(M20*M16*(M19*10^6)*(M15/10^5)*M9/M11^2,1)</f>
        <v>4588.3</v>
      </c>
      <c r="N44" s="209" t="s">
        <v>62</v>
      </c>
      <c r="O44" s="210"/>
      <c r="P44" s="210"/>
      <c r="Q44" s="210"/>
      <c r="R44" s="160"/>
    </row>
    <row r="45" spans="1:18" ht="19.5" thickBot="1">
      <c r="A45" s="80"/>
      <c r="B45" s="81"/>
      <c r="C45" s="81"/>
      <c r="D45" s="81"/>
      <c r="E45" s="81"/>
      <c r="F45" s="82"/>
      <c r="G45" s="87" t="s">
        <v>153</v>
      </c>
      <c r="H45" s="154" t="s">
        <v>285</v>
      </c>
      <c r="I45" s="154"/>
      <c r="J45" s="154"/>
      <c r="K45" s="154"/>
      <c r="L45" s="155"/>
      <c r="M45" s="31">
        <f>ROUNDUP(M22*M16*(M19*10^6)*(M15/10^5)*M9/M11^2,1)</f>
        <v>36.800000000000004</v>
      </c>
      <c r="N45" s="160" t="s">
        <v>62</v>
      </c>
      <c r="O45" s="161"/>
      <c r="P45" s="161"/>
      <c r="Q45" s="161"/>
      <c r="R45" s="161"/>
    </row>
    <row r="48" spans="1:18" ht="18" customHeight="1">
      <c r="A48" s="145" t="s">
        <v>369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pans="1:18" ht="18" customHeight="1">
      <c r="A49" s="139" t="s">
        <v>294</v>
      </c>
      <c r="B49" s="151"/>
      <c r="C49" s="151"/>
      <c r="D49" s="151"/>
      <c r="E49" s="151"/>
      <c r="F49" s="152"/>
      <c r="G49" s="40" t="s">
        <v>95</v>
      </c>
      <c r="H49" s="155" t="s">
        <v>92</v>
      </c>
      <c r="I49" s="210"/>
      <c r="J49" s="210"/>
      <c r="K49" s="210"/>
      <c r="L49" s="210"/>
      <c r="M49" s="18" t="s">
        <v>93</v>
      </c>
      <c r="N49" s="155" t="s">
        <v>94</v>
      </c>
      <c r="O49" s="207"/>
      <c r="P49" s="207"/>
      <c r="Q49" s="207"/>
      <c r="R49" s="211"/>
    </row>
    <row r="50" spans="1:18" ht="18" customHeight="1">
      <c r="A50" s="75"/>
      <c r="B50" s="72"/>
      <c r="C50" s="72"/>
      <c r="D50" s="72"/>
      <c r="E50" s="72"/>
      <c r="F50" s="76"/>
      <c r="G50" s="36" t="s">
        <v>0</v>
      </c>
      <c r="H50" s="154" t="s">
        <v>96</v>
      </c>
      <c r="I50" s="154"/>
      <c r="J50" s="154"/>
      <c r="K50" s="154"/>
      <c r="L50" s="154"/>
      <c r="M50" s="22">
        <v>19</v>
      </c>
      <c r="N50" s="161" t="s">
        <v>17</v>
      </c>
      <c r="O50" s="161"/>
      <c r="P50" s="161"/>
      <c r="Q50" s="161"/>
      <c r="R50" s="161"/>
    </row>
    <row r="51" spans="1:18" ht="18" customHeight="1">
      <c r="A51" s="77"/>
      <c r="B51" s="16"/>
      <c r="C51" s="16"/>
      <c r="D51" s="74" t="s">
        <v>290</v>
      </c>
      <c r="E51" s="149" t="s">
        <v>291</v>
      </c>
      <c r="F51" s="150"/>
      <c r="G51" s="35" t="s">
        <v>44</v>
      </c>
      <c r="H51" s="154" t="s">
        <v>96</v>
      </c>
      <c r="I51" s="154"/>
      <c r="J51" s="154"/>
      <c r="K51" s="154"/>
      <c r="L51" s="154"/>
      <c r="M51" s="64">
        <v>3.5</v>
      </c>
      <c r="N51" s="161" t="s">
        <v>266</v>
      </c>
      <c r="O51" s="161"/>
      <c r="P51" s="161"/>
      <c r="Q51" s="161"/>
      <c r="R51" s="161"/>
    </row>
    <row r="52" spans="1:18" ht="18" customHeight="1">
      <c r="A52" s="77"/>
      <c r="B52" s="16"/>
      <c r="C52" s="16"/>
      <c r="D52" s="16" t="str">
        <f>M73&amp;" H"</f>
        <v>8800,9 H</v>
      </c>
      <c r="E52" s="147" t="str">
        <f>M74&amp;" H"</f>
        <v>23,8 H</v>
      </c>
      <c r="F52" s="148"/>
      <c r="G52" s="35" t="s">
        <v>45</v>
      </c>
      <c r="H52" s="154" t="s">
        <v>96</v>
      </c>
      <c r="I52" s="154"/>
      <c r="J52" s="154"/>
      <c r="K52" s="154"/>
      <c r="L52" s="154"/>
      <c r="M52" s="22">
        <v>110</v>
      </c>
      <c r="N52" s="161" t="s">
        <v>265</v>
      </c>
      <c r="O52" s="161"/>
      <c r="P52" s="161"/>
      <c r="Q52" s="161"/>
      <c r="R52" s="161"/>
    </row>
    <row r="53" spans="1:18" ht="18" customHeight="1">
      <c r="A53" s="77"/>
      <c r="B53" s="16"/>
      <c r="C53" s="142" t="str">
        <f>M60&amp;"°"</f>
        <v>0°</v>
      </c>
      <c r="D53" s="143"/>
      <c r="E53" s="1" t="s">
        <v>58</v>
      </c>
      <c r="F53" s="78"/>
      <c r="G53" s="17" t="s">
        <v>27</v>
      </c>
      <c r="H53" s="154" t="s">
        <v>96</v>
      </c>
      <c r="I53" s="154"/>
      <c r="J53" s="154"/>
      <c r="K53" s="154"/>
      <c r="L53" s="154"/>
      <c r="M53" s="65">
        <v>0.219</v>
      </c>
      <c r="N53" s="161" t="s">
        <v>13</v>
      </c>
      <c r="O53" s="161"/>
      <c r="P53" s="161"/>
      <c r="Q53" s="161"/>
      <c r="R53" s="161"/>
    </row>
    <row r="54" spans="3:18" ht="18" customHeight="1">
      <c r="C54" s="143"/>
      <c r="D54" s="143"/>
      <c r="E54" s="90" t="s">
        <v>293</v>
      </c>
      <c r="F54" s="16" t="str">
        <f>M51&amp;" м"</f>
        <v>3,5 м</v>
      </c>
      <c r="G54" s="36" t="s">
        <v>23</v>
      </c>
      <c r="H54" s="155" t="s">
        <v>96</v>
      </c>
      <c r="I54" s="207"/>
      <c r="J54" s="207"/>
      <c r="K54" s="207"/>
      <c r="L54" s="211"/>
      <c r="M54" s="65">
        <v>0.006</v>
      </c>
      <c r="N54" s="159" t="s">
        <v>24</v>
      </c>
      <c r="O54" s="159"/>
      <c r="P54" s="159"/>
      <c r="Q54" s="159"/>
      <c r="R54" s="159"/>
    </row>
    <row r="55" spans="1:18" ht="18" customHeight="1">
      <c r="A55" s="77"/>
      <c r="B55" s="16"/>
      <c r="C55" s="143"/>
      <c r="D55" s="143"/>
      <c r="E55" s="16"/>
      <c r="F55" s="78"/>
      <c r="G55" s="17" t="s">
        <v>39</v>
      </c>
      <c r="H55" s="155" t="s">
        <v>124</v>
      </c>
      <c r="I55" s="207"/>
      <c r="J55" s="207"/>
      <c r="K55" s="207"/>
      <c r="L55" s="211"/>
      <c r="M55" s="32">
        <f>0.05*(M53^4-(M53-2*M54)^4)*10^5</f>
        <v>2.3211035999999985</v>
      </c>
      <c r="N55" s="159" t="s">
        <v>38</v>
      </c>
      <c r="O55" s="159"/>
      <c r="P55" s="159"/>
      <c r="Q55" s="159"/>
      <c r="R55" s="159"/>
    </row>
    <row r="56" spans="1:18" ht="18" customHeight="1">
      <c r="A56" s="77"/>
      <c r="B56" s="16"/>
      <c r="C56" s="144"/>
      <c r="D56" s="144"/>
      <c r="E56" s="16"/>
      <c r="F56" s="78"/>
      <c r="G56" s="36" t="s">
        <v>261</v>
      </c>
      <c r="H56" s="154" t="s">
        <v>96</v>
      </c>
      <c r="I56" s="154"/>
      <c r="J56" s="154"/>
      <c r="K56" s="154"/>
      <c r="L56" s="154"/>
      <c r="M56" s="66" t="str">
        <f>IF(M50&lt;=20,0.0000118,IF(M50&lt;=75,0.000012,IF(M50&lt;=100,0.0000122,IF(M50&lt;=125,0.0000124,IF(M50&lt;=150,0.0000125,IF(M50&lt;=175,0.0000127,IF(M50&lt;=200,0.0000128,IF(M50&lt;=225,0.000013,""))))))))&amp;IF(M50&gt;225,IF(M50&lt;=250,0.0000131,IF(M50&lt;=275,0.0000132,IF(M50&lt;=300,0.0000134,IF(M50&lt;=325,0.0000135,IF(M50&lt;=350,0.0000136,IF(M50&lt;=375,0.0000137,IF(M50&lt;=400,0.0000138,""))))))),"")</f>
        <v>0,0000118</v>
      </c>
      <c r="N56" s="161" t="s">
        <v>5</v>
      </c>
      <c r="O56" s="161"/>
      <c r="P56" s="161"/>
      <c r="Q56" s="161"/>
      <c r="R56" s="161"/>
    </row>
    <row r="57" spans="1:18" ht="18" customHeight="1">
      <c r="A57" s="77"/>
      <c r="B57" s="16"/>
      <c r="C57" s="70"/>
      <c r="D57" s="16"/>
      <c r="E57" s="16"/>
      <c r="F57" s="78"/>
      <c r="G57" s="17" t="s">
        <v>8</v>
      </c>
      <c r="H57" s="139" t="s">
        <v>260</v>
      </c>
      <c r="I57" s="140"/>
      <c r="J57" s="140"/>
      <c r="K57" s="140"/>
      <c r="L57" s="141"/>
      <c r="M57" s="67">
        <f>M52/M51</f>
        <v>31.428571428571427</v>
      </c>
      <c r="N57" s="161" t="s">
        <v>267</v>
      </c>
      <c r="O57" s="161"/>
      <c r="P57" s="161"/>
      <c r="Q57" s="161"/>
      <c r="R57" s="161"/>
    </row>
    <row r="58" spans="1:18" ht="18" customHeight="1">
      <c r="A58" s="77"/>
      <c r="B58" s="16"/>
      <c r="C58" s="70"/>
      <c r="D58" s="79" t="str">
        <f>M59&amp;"°"</f>
        <v>90°</v>
      </c>
      <c r="E58" s="16"/>
      <c r="F58" s="78"/>
      <c r="G58" s="17" t="s">
        <v>16</v>
      </c>
      <c r="H58" s="154" t="s">
        <v>96</v>
      </c>
      <c r="I58" s="154"/>
      <c r="J58" s="154"/>
      <c r="K58" s="154"/>
      <c r="L58" s="154"/>
      <c r="M58" s="24" t="str">
        <f>IF(M50&lt;=20,2.05*9.81*10^4,IF(M50&lt;=75,1.99*9.81*10^4,IF(M50&lt;=100,1.975*9.81*10^4,IF(M50&lt;=125,1.95*9.81*10^4,IF(M50&lt;=150,1.93*9.81*10^4,IF(M50&lt;=175,1.915*9.81*10^4,IF(M50&lt;=200,1.875*9.81*10^4,IF(M50&lt;=225,1.847*9.81*10^4,""))))))))&amp;IF(M50&gt;225,IF(M50&lt;=250,1.82*9.81*10^4,IF(M50&lt;=275,1.79*9.81*10^4,IF(M50&lt;=300,1.755*9.81*10^4,IF(M50&lt;=325,1.727*9.81*10^4,IF(M50&lt;=350,1.695*9.81*10^4,IF(M50&lt;=375,1.665*9.81*10^4,IF(M50&lt;=400,1.63*9.81*10^4,""))))))),"")</f>
        <v>201105</v>
      </c>
      <c r="N58" s="161" t="s">
        <v>14</v>
      </c>
      <c r="O58" s="161"/>
      <c r="P58" s="161"/>
      <c r="Q58" s="161"/>
      <c r="R58" s="161"/>
    </row>
    <row r="59" spans="1:18" ht="18" customHeight="1">
      <c r="A59" s="77"/>
      <c r="B59" s="16"/>
      <c r="C59" s="70"/>
      <c r="D59" s="16"/>
      <c r="E59" s="16"/>
      <c r="F59" s="78"/>
      <c r="G59" s="10" t="s">
        <v>10</v>
      </c>
      <c r="H59" s="154" t="s">
        <v>96</v>
      </c>
      <c r="I59" s="154"/>
      <c r="J59" s="154"/>
      <c r="K59" s="154"/>
      <c r="L59" s="154"/>
      <c r="M59" s="22">
        <v>90</v>
      </c>
      <c r="N59" s="161" t="s">
        <v>11</v>
      </c>
      <c r="O59" s="161"/>
      <c r="P59" s="161"/>
      <c r="Q59" s="161"/>
      <c r="R59" s="161"/>
    </row>
    <row r="60" spans="1:18" ht="18" customHeight="1">
      <c r="A60" s="77"/>
      <c r="B60" s="16"/>
      <c r="C60" s="91" t="s">
        <v>292</v>
      </c>
      <c r="D60" s="16" t="str">
        <f>M52&amp;" м"</f>
        <v>110 м</v>
      </c>
      <c r="E60" s="16"/>
      <c r="F60" s="78"/>
      <c r="G60" s="10" t="s">
        <v>12</v>
      </c>
      <c r="H60" s="154" t="s">
        <v>96</v>
      </c>
      <c r="I60" s="154"/>
      <c r="J60" s="154"/>
      <c r="K60" s="154"/>
      <c r="L60" s="154"/>
      <c r="M60" s="24">
        <f>M59-90</f>
        <v>0</v>
      </c>
      <c r="N60" s="161"/>
      <c r="O60" s="161"/>
      <c r="P60" s="161"/>
      <c r="Q60" s="161"/>
      <c r="R60" s="161"/>
    </row>
    <row r="61" spans="1:18" ht="18" customHeight="1">
      <c r="A61" s="77"/>
      <c r="B61" s="16"/>
      <c r="C61" s="70"/>
      <c r="D61" s="16"/>
      <c r="E61" s="16"/>
      <c r="F61" s="78"/>
      <c r="G61" s="182" t="s">
        <v>263</v>
      </c>
      <c r="H61" s="193" t="s">
        <v>281</v>
      </c>
      <c r="I61" s="188"/>
      <c r="J61" s="188"/>
      <c r="K61" s="188"/>
      <c r="L61" s="189"/>
      <c r="M61" s="184">
        <f>(3*((3*M57^3+4*M57^2+3)+SIN(RADIANS(M60))*(7*M57^2+M57)))/(M57^3*(1+M57)*COS(RADIANS(M60)))</f>
        <v>0.28931610866924606</v>
      </c>
      <c r="N61" s="195" t="s">
        <v>120</v>
      </c>
      <c r="O61" s="196"/>
      <c r="P61" s="196"/>
      <c r="Q61" s="196"/>
      <c r="R61" s="197"/>
    </row>
    <row r="62" spans="1:18" ht="18" customHeight="1">
      <c r="A62" s="77"/>
      <c r="B62" s="16"/>
      <c r="C62" s="70"/>
      <c r="D62" s="16"/>
      <c r="E62" s="16"/>
      <c r="F62" s="78"/>
      <c r="G62" s="183"/>
      <c r="H62" s="192" t="s">
        <v>271</v>
      </c>
      <c r="I62" s="190"/>
      <c r="J62" s="190"/>
      <c r="K62" s="190"/>
      <c r="L62" s="191"/>
      <c r="M62" s="185"/>
      <c r="N62" s="198"/>
      <c r="O62" s="199"/>
      <c r="P62" s="199"/>
      <c r="Q62" s="199"/>
      <c r="R62" s="200"/>
    </row>
    <row r="63" spans="1:18" ht="18" customHeight="1">
      <c r="A63" s="77"/>
      <c r="B63" s="16"/>
      <c r="C63" s="70"/>
      <c r="D63" s="16"/>
      <c r="E63" s="16"/>
      <c r="F63" s="78"/>
      <c r="G63" s="182" t="s">
        <v>264</v>
      </c>
      <c r="H63" s="204" t="s">
        <v>277</v>
      </c>
      <c r="I63" s="205"/>
      <c r="J63" s="205"/>
      <c r="K63" s="205"/>
      <c r="L63" s="206"/>
      <c r="M63" s="184">
        <f>(3*(M57^2*(M57^3+4*M57^2+3)+SIN(RADIANS(M60))^2*(7*M57^2+M57)+SIN(RADIANS(M60))*(M57^4+10*M57^3+4*M57+1)))/(M57^3*(1+M57)*COS(RADIANS(M60))^2)</f>
        <v>103.01701184278272</v>
      </c>
      <c r="N63" s="195" t="s">
        <v>120</v>
      </c>
      <c r="O63" s="196"/>
      <c r="P63" s="196"/>
      <c r="Q63" s="196"/>
      <c r="R63" s="197"/>
    </row>
    <row r="64" spans="1:18" ht="18" customHeight="1" thickBot="1">
      <c r="A64" s="77" t="str">
        <f>"P'x = "&amp;M71&amp;" H"</f>
        <v>P'x = 24,8 H</v>
      </c>
      <c r="B64" s="16"/>
      <c r="C64" s="71" t="s">
        <v>288</v>
      </c>
      <c r="D64" s="16"/>
      <c r="E64" s="16"/>
      <c r="F64" s="78"/>
      <c r="G64" s="183"/>
      <c r="H64" s="192" t="s">
        <v>269</v>
      </c>
      <c r="I64" s="190"/>
      <c r="J64" s="190"/>
      <c r="K64" s="190"/>
      <c r="L64" s="191"/>
      <c r="M64" s="185"/>
      <c r="N64" s="198"/>
      <c r="O64" s="199"/>
      <c r="P64" s="199"/>
      <c r="Q64" s="199"/>
      <c r="R64" s="200"/>
    </row>
    <row r="65" spans="1:18" ht="18" customHeight="1" thickTop="1">
      <c r="A65" s="77"/>
      <c r="B65" s="69"/>
      <c r="C65" s="69"/>
      <c r="D65" s="16"/>
      <c r="E65" s="16"/>
      <c r="F65" s="78"/>
      <c r="G65" s="182" t="s">
        <v>53</v>
      </c>
      <c r="H65" s="193" t="s">
        <v>280</v>
      </c>
      <c r="I65" s="188"/>
      <c r="J65" s="188"/>
      <c r="K65" s="188"/>
      <c r="L65" s="189"/>
      <c r="M65" s="184">
        <f>(3*((M57^3+4*M57^2+3)+SIN(RADIANS(M60))*(M57^2+7*M57)))/(M57*(1+M57)*COS(RADIANS(M60)))</f>
        <v>103.01701184278275</v>
      </c>
      <c r="N65" s="195" t="s">
        <v>120</v>
      </c>
      <c r="O65" s="196"/>
      <c r="P65" s="196"/>
      <c r="Q65" s="196"/>
      <c r="R65" s="197"/>
    </row>
    <row r="66" spans="1:18" ht="18" customHeight="1">
      <c r="A66" s="77"/>
      <c r="B66" s="16"/>
      <c r="C66" s="16" t="s">
        <v>289</v>
      </c>
      <c r="D66" s="16" t="str">
        <f>"= "&amp;M72&amp;" H"</f>
        <v>= 8800,9 H</v>
      </c>
      <c r="E66" s="16"/>
      <c r="F66" s="78"/>
      <c r="G66" s="183"/>
      <c r="H66" s="192" t="s">
        <v>270</v>
      </c>
      <c r="I66" s="190"/>
      <c r="J66" s="190"/>
      <c r="K66" s="190"/>
      <c r="L66" s="191"/>
      <c r="M66" s="185"/>
      <c r="N66" s="198"/>
      <c r="O66" s="199"/>
      <c r="P66" s="199"/>
      <c r="Q66" s="199"/>
      <c r="R66" s="200"/>
    </row>
    <row r="67" spans="1:18" ht="18" customHeight="1">
      <c r="A67" s="77"/>
      <c r="B67" s="16"/>
      <c r="C67" s="16"/>
      <c r="D67" s="16"/>
      <c r="E67" s="16"/>
      <c r="F67" s="78"/>
      <c r="G67" s="182" t="s">
        <v>126</v>
      </c>
      <c r="H67" s="201" t="s">
        <v>276</v>
      </c>
      <c r="I67" s="202"/>
      <c r="J67" s="202"/>
      <c r="K67" s="202"/>
      <c r="L67" s="203"/>
      <c r="M67" s="184">
        <f>(3*((3*M57^3+4*M57+1)+M57^2*SIN(RADIANS(M60))^2*(M57^2+7*M57)+M57*SIN(RADIANS(M60))*(M57^4+4*M57^3+10*M57+1)))/(M57^3*(1+M57)*COS(RADIANS(M60))^2)</f>
        <v>0.27791065104571766</v>
      </c>
      <c r="N67" s="195" t="s">
        <v>120</v>
      </c>
      <c r="O67" s="196"/>
      <c r="P67" s="196"/>
      <c r="Q67" s="196"/>
      <c r="R67" s="197"/>
    </row>
    <row r="68" spans="1:18" ht="18" customHeight="1">
      <c r="A68" s="77"/>
      <c r="B68" s="16"/>
      <c r="C68" s="16"/>
      <c r="D68" s="16"/>
      <c r="E68" s="16"/>
      <c r="F68" s="78"/>
      <c r="G68" s="183"/>
      <c r="H68" s="192" t="s">
        <v>269</v>
      </c>
      <c r="I68" s="190"/>
      <c r="J68" s="190"/>
      <c r="K68" s="190"/>
      <c r="L68" s="191"/>
      <c r="M68" s="185"/>
      <c r="N68" s="198"/>
      <c r="O68" s="199"/>
      <c r="P68" s="199"/>
      <c r="Q68" s="199"/>
      <c r="R68" s="200"/>
    </row>
    <row r="69" spans="1:18" ht="18" customHeight="1">
      <c r="A69" s="77"/>
      <c r="B69" s="16"/>
      <c r="C69" s="16"/>
      <c r="D69" s="16"/>
      <c r="E69" s="16"/>
      <c r="F69" s="78"/>
      <c r="G69" s="182" t="s">
        <v>262</v>
      </c>
      <c r="H69" s="193" t="s">
        <v>275</v>
      </c>
      <c r="I69" s="194"/>
      <c r="J69" s="186" t="s">
        <v>273</v>
      </c>
      <c r="K69" s="188" t="s">
        <v>272</v>
      </c>
      <c r="L69" s="189"/>
      <c r="M69" s="184">
        <f>1.5*(M57^3+2*M57^2+1)/(M57*(1+M57)*COS(RADIANS(M60)))+1.5*TAN(RADIANS(M60))*(M57+3)/(1+M57)</f>
        <v>48.598073402368556</v>
      </c>
      <c r="N69" s="195" t="s">
        <v>120</v>
      </c>
      <c r="O69" s="196"/>
      <c r="P69" s="196"/>
      <c r="Q69" s="196"/>
      <c r="R69" s="197"/>
    </row>
    <row r="70" spans="1:18" ht="18" customHeight="1" thickBot="1">
      <c r="A70" s="77"/>
      <c r="B70" s="16"/>
      <c r="C70" s="16"/>
      <c r="D70" s="16"/>
      <c r="E70" s="16"/>
      <c r="F70" s="78"/>
      <c r="G70" s="183"/>
      <c r="H70" s="192" t="s">
        <v>268</v>
      </c>
      <c r="I70" s="190"/>
      <c r="J70" s="187"/>
      <c r="K70" s="190" t="s">
        <v>274</v>
      </c>
      <c r="L70" s="191"/>
      <c r="M70" s="185"/>
      <c r="N70" s="198"/>
      <c r="O70" s="199"/>
      <c r="P70" s="199"/>
      <c r="Q70" s="199"/>
      <c r="R70" s="200"/>
    </row>
    <row r="71" spans="1:18" ht="19.5" thickBot="1">
      <c r="A71" s="77"/>
      <c r="B71" s="16"/>
      <c r="C71" s="16"/>
      <c r="D71" s="16"/>
      <c r="E71" s="16"/>
      <c r="F71" s="78"/>
      <c r="G71" s="17" t="s">
        <v>282</v>
      </c>
      <c r="H71" s="155" t="s">
        <v>286</v>
      </c>
      <c r="I71" s="207"/>
      <c r="J71" s="207"/>
      <c r="K71" s="207"/>
      <c r="L71" s="208"/>
      <c r="M71" s="47">
        <f>ROUNDUP(M61*M56*(M58*10^6)*(M55/10^5)*M50/M51^2,1)</f>
        <v>24.8</v>
      </c>
      <c r="N71" s="209" t="s">
        <v>62</v>
      </c>
      <c r="O71" s="210"/>
      <c r="P71" s="210"/>
      <c r="Q71" s="210"/>
      <c r="R71" s="160"/>
    </row>
    <row r="72" spans="1:18" ht="19.5" thickBot="1">
      <c r="A72" s="77"/>
      <c r="B72" s="16"/>
      <c r="C72" s="16"/>
      <c r="D72" s="16"/>
      <c r="E72" s="16"/>
      <c r="F72" s="78"/>
      <c r="G72" s="17" t="s">
        <v>283</v>
      </c>
      <c r="H72" s="154" t="s">
        <v>287</v>
      </c>
      <c r="I72" s="154"/>
      <c r="J72" s="154"/>
      <c r="K72" s="154"/>
      <c r="L72" s="155"/>
      <c r="M72" s="47">
        <f>ROUNDUP(M63*M56*(M58*10^6)*(M55/10^5)*M50/M51^2,1)</f>
        <v>8800.9</v>
      </c>
      <c r="N72" s="160" t="s">
        <v>62</v>
      </c>
      <c r="O72" s="161"/>
      <c r="P72" s="161"/>
      <c r="Q72" s="161"/>
      <c r="R72" s="161"/>
    </row>
    <row r="73" spans="1:18" ht="19.5" thickBot="1">
      <c r="A73" s="77"/>
      <c r="B73" s="16"/>
      <c r="C73" s="16"/>
      <c r="D73" s="16"/>
      <c r="E73" s="16"/>
      <c r="F73" s="78"/>
      <c r="G73" s="17" t="s">
        <v>152</v>
      </c>
      <c r="H73" s="155" t="s">
        <v>279</v>
      </c>
      <c r="I73" s="207"/>
      <c r="J73" s="207"/>
      <c r="K73" s="207"/>
      <c r="L73" s="208"/>
      <c r="M73" s="47">
        <f>ROUNDUP(M65*M56*(M58*10^6)*(M55/10^5)*M50/M51^2,1)</f>
        <v>8800.9</v>
      </c>
      <c r="N73" s="209" t="s">
        <v>62</v>
      </c>
      <c r="O73" s="210"/>
      <c r="P73" s="210"/>
      <c r="Q73" s="210"/>
      <c r="R73" s="160"/>
    </row>
    <row r="74" spans="1:18" ht="19.5" thickBot="1">
      <c r="A74" s="77"/>
      <c r="B74" s="16"/>
      <c r="C74" s="16"/>
      <c r="D74" s="16"/>
      <c r="E74" s="16"/>
      <c r="F74" s="78"/>
      <c r="G74" s="17" t="s">
        <v>153</v>
      </c>
      <c r="H74" s="154" t="s">
        <v>284</v>
      </c>
      <c r="I74" s="154"/>
      <c r="J74" s="154"/>
      <c r="K74" s="154"/>
      <c r="L74" s="155"/>
      <c r="M74" s="47">
        <f>ROUNDUP(M67*M56*(M58*10^6)*(M55/10^5)*M50/M51^2,1)</f>
        <v>23.8</v>
      </c>
      <c r="N74" s="160" t="s">
        <v>62</v>
      </c>
      <c r="O74" s="161"/>
      <c r="P74" s="161"/>
      <c r="Q74" s="161"/>
      <c r="R74" s="161"/>
    </row>
    <row r="75" spans="1:18" ht="16.5" thickBot="1">
      <c r="A75" s="77"/>
      <c r="B75" s="16"/>
      <c r="C75" s="16"/>
      <c r="D75" s="16"/>
      <c r="E75" s="16"/>
      <c r="F75" s="78"/>
      <c r="G75" s="172" t="s">
        <v>46</v>
      </c>
      <c r="H75" s="173" t="s">
        <v>278</v>
      </c>
      <c r="I75" s="174"/>
      <c r="J75" s="174"/>
      <c r="K75" s="174"/>
      <c r="L75" s="174"/>
      <c r="M75" s="178">
        <f>ABS(M69*M56*M58*M53*M50/(M51))</f>
        <v>137.1050968341803</v>
      </c>
      <c r="N75" s="180" t="s">
        <v>49</v>
      </c>
      <c r="O75" s="181"/>
      <c r="P75" s="181"/>
      <c r="Q75" s="181"/>
      <c r="R75" s="181"/>
    </row>
    <row r="76" spans="1:18" ht="16.5" thickBot="1">
      <c r="A76" s="77"/>
      <c r="B76" s="16"/>
      <c r="C76" s="16"/>
      <c r="D76" s="16"/>
      <c r="E76" s="16"/>
      <c r="F76" s="78"/>
      <c r="G76" s="161"/>
      <c r="H76" s="175"/>
      <c r="I76" s="176"/>
      <c r="J76" s="176"/>
      <c r="K76" s="176"/>
      <c r="L76" s="177"/>
      <c r="M76" s="179"/>
      <c r="N76" s="180"/>
      <c r="O76" s="181"/>
      <c r="P76" s="181"/>
      <c r="Q76" s="181"/>
      <c r="R76" s="181"/>
    </row>
    <row r="77" spans="1:18" ht="15.75">
      <c r="A77" s="77"/>
      <c r="B77" s="16"/>
      <c r="C77" s="16"/>
      <c r="D77" s="16"/>
      <c r="E77" s="16"/>
      <c r="F77" s="78"/>
      <c r="G77" s="162" t="s">
        <v>189</v>
      </c>
      <c r="H77" s="164" t="s">
        <v>191</v>
      </c>
      <c r="I77" s="165"/>
      <c r="J77" s="165"/>
      <c r="K77" s="165"/>
      <c r="L77" s="166"/>
      <c r="M77" s="170">
        <f>VLOOKUP(H77,T9:Z12,7,FALSE)</f>
        <v>0.95</v>
      </c>
      <c r="N77" s="161" t="s">
        <v>190</v>
      </c>
      <c r="O77" s="161"/>
      <c r="P77" s="161"/>
      <c r="Q77" s="161"/>
      <c r="R77" s="161"/>
    </row>
    <row r="78" spans="1:18" ht="15.75">
      <c r="A78" s="77"/>
      <c r="B78" s="16"/>
      <c r="C78" s="16"/>
      <c r="D78" s="16"/>
      <c r="E78" s="16"/>
      <c r="F78" s="78"/>
      <c r="G78" s="163"/>
      <c r="H78" s="167"/>
      <c r="I78" s="168"/>
      <c r="J78" s="168"/>
      <c r="K78" s="168"/>
      <c r="L78" s="169"/>
      <c r="M78" s="171"/>
      <c r="N78" s="161"/>
      <c r="O78" s="161"/>
      <c r="P78" s="161"/>
      <c r="Q78" s="161"/>
      <c r="R78" s="161"/>
    </row>
    <row r="79" spans="1:18" ht="16.5" thickBot="1">
      <c r="A79" s="77"/>
      <c r="B79" s="16"/>
      <c r="C79" s="16"/>
      <c r="D79" s="16"/>
      <c r="E79" s="16"/>
      <c r="F79" s="78"/>
      <c r="G79" s="17" t="s">
        <v>198</v>
      </c>
      <c r="H79" s="154" t="s">
        <v>105</v>
      </c>
      <c r="I79" s="154"/>
      <c r="J79" s="154"/>
      <c r="K79" s="154"/>
      <c r="L79" s="155"/>
      <c r="M79" s="68">
        <v>147</v>
      </c>
      <c r="N79" s="156" t="s">
        <v>200</v>
      </c>
      <c r="O79" s="151"/>
      <c r="P79" s="151"/>
      <c r="Q79" s="151"/>
      <c r="R79" s="152"/>
    </row>
    <row r="80" spans="1:18" ht="19.5" thickBot="1">
      <c r="A80" s="80"/>
      <c r="B80" s="81"/>
      <c r="C80" s="81"/>
      <c r="D80" s="81"/>
      <c r="E80" s="81"/>
      <c r="F80" s="82"/>
      <c r="G80" s="36" t="s">
        <v>18</v>
      </c>
      <c r="H80" s="157" t="s">
        <v>199</v>
      </c>
      <c r="I80" s="154"/>
      <c r="J80" s="154"/>
      <c r="K80" s="154"/>
      <c r="L80" s="155"/>
      <c r="M80" s="47">
        <f>M79*M77</f>
        <v>139.65</v>
      </c>
      <c r="N80" s="158" t="s">
        <v>42</v>
      </c>
      <c r="O80" s="159"/>
      <c r="P80" s="159"/>
      <c r="Q80" s="159"/>
      <c r="R80" s="159"/>
    </row>
  </sheetData>
  <sheetProtection password="CE28" sheet="1" objects="1" scenarios="1"/>
  <mergeCells count="175">
    <mergeCell ref="H43:L43"/>
    <mergeCell ref="N43:R43"/>
    <mergeCell ref="G40:G41"/>
    <mergeCell ref="H40:L41"/>
    <mergeCell ref="M40:M41"/>
    <mergeCell ref="N40:R41"/>
    <mergeCell ref="K24:L24"/>
    <mergeCell ref="H45:L45"/>
    <mergeCell ref="H15:L15"/>
    <mergeCell ref="N15:R15"/>
    <mergeCell ref="H44:L44"/>
    <mergeCell ref="H42:L42"/>
    <mergeCell ref="K25:L25"/>
    <mergeCell ref="J26:J27"/>
    <mergeCell ref="K26:L26"/>
    <mergeCell ref="N42:R42"/>
    <mergeCell ref="K27:L27"/>
    <mergeCell ref="G30:G31"/>
    <mergeCell ref="G28:G29"/>
    <mergeCell ref="H28:H29"/>
    <mergeCell ref="H38:L39"/>
    <mergeCell ref="J30:J31"/>
    <mergeCell ref="K30:L30"/>
    <mergeCell ref="K31:L31"/>
    <mergeCell ref="H32:L33"/>
    <mergeCell ref="H30:H31"/>
    <mergeCell ref="J24:J25"/>
    <mergeCell ref="N26:R27"/>
    <mergeCell ref="N28:R29"/>
    <mergeCell ref="N30:R31"/>
    <mergeCell ref="J28:J29"/>
    <mergeCell ref="K28:L28"/>
    <mergeCell ref="K29:L29"/>
    <mergeCell ref="M24:M25"/>
    <mergeCell ref="M26:M27"/>
    <mergeCell ref="M28:M29"/>
    <mergeCell ref="G32:G33"/>
    <mergeCell ref="M32:M33"/>
    <mergeCell ref="N32:R33"/>
    <mergeCell ref="H17:L17"/>
    <mergeCell ref="G26:G27"/>
    <mergeCell ref="H24:H25"/>
    <mergeCell ref="H26:H27"/>
    <mergeCell ref="G24:G25"/>
    <mergeCell ref="H18:L18"/>
    <mergeCell ref="G20:G21"/>
    <mergeCell ref="M22:M23"/>
    <mergeCell ref="N44:R44"/>
    <mergeCell ref="N45:R45"/>
    <mergeCell ref="N9:R9"/>
    <mergeCell ref="N10:R10"/>
    <mergeCell ref="N12:R12"/>
    <mergeCell ref="N22:R23"/>
    <mergeCell ref="N17:R17"/>
    <mergeCell ref="N11:R11"/>
    <mergeCell ref="N18:R18"/>
    <mergeCell ref="N14:R14"/>
    <mergeCell ref="N13:R13"/>
    <mergeCell ref="N19:R19"/>
    <mergeCell ref="N20:R21"/>
    <mergeCell ref="G38:G39"/>
    <mergeCell ref="M38:M39"/>
    <mergeCell ref="N38:R39"/>
    <mergeCell ref="G34:G35"/>
    <mergeCell ref="M34:M35"/>
    <mergeCell ref="N34:R35"/>
    <mergeCell ref="G36:G37"/>
    <mergeCell ref="M36:M37"/>
    <mergeCell ref="H34:L35"/>
    <mergeCell ref="H36:L37"/>
    <mergeCell ref="N24:R25"/>
    <mergeCell ref="H11:L11"/>
    <mergeCell ref="N36:R37"/>
    <mergeCell ref="N16:R16"/>
    <mergeCell ref="H22:H23"/>
    <mergeCell ref="I22:L22"/>
    <mergeCell ref="I23:L23"/>
    <mergeCell ref="H14:L14"/>
    <mergeCell ref="H19:L19"/>
    <mergeCell ref="M30:M31"/>
    <mergeCell ref="G22:G23"/>
    <mergeCell ref="H9:L9"/>
    <mergeCell ref="H10:L10"/>
    <mergeCell ref="H20:H21"/>
    <mergeCell ref="I20:L20"/>
    <mergeCell ref="I21:L21"/>
    <mergeCell ref="H49:L49"/>
    <mergeCell ref="N49:R49"/>
    <mergeCell ref="H50:L50"/>
    <mergeCell ref="N50:R50"/>
    <mergeCell ref="H8:L8"/>
    <mergeCell ref="H12:L12"/>
    <mergeCell ref="H16:L16"/>
    <mergeCell ref="H13:L13"/>
    <mergeCell ref="M20:M21"/>
    <mergeCell ref="N8:R8"/>
    <mergeCell ref="H51:L51"/>
    <mergeCell ref="N51:R51"/>
    <mergeCell ref="H60:L60"/>
    <mergeCell ref="N60:R60"/>
    <mergeCell ref="N55:R55"/>
    <mergeCell ref="H52:L52"/>
    <mergeCell ref="N52:R52"/>
    <mergeCell ref="H53:L53"/>
    <mergeCell ref="N53:R53"/>
    <mergeCell ref="H58:L58"/>
    <mergeCell ref="W19:AA19"/>
    <mergeCell ref="H59:L59"/>
    <mergeCell ref="N59:R59"/>
    <mergeCell ref="H56:L56"/>
    <mergeCell ref="N56:R56"/>
    <mergeCell ref="H57:L57"/>
    <mergeCell ref="N57:R57"/>
    <mergeCell ref="H54:L54"/>
    <mergeCell ref="N54:R54"/>
    <mergeCell ref="H55:L55"/>
    <mergeCell ref="N58:R58"/>
    <mergeCell ref="H73:L73"/>
    <mergeCell ref="N73:R73"/>
    <mergeCell ref="N61:R62"/>
    <mergeCell ref="N69:R70"/>
    <mergeCell ref="H71:L71"/>
    <mergeCell ref="N71:R71"/>
    <mergeCell ref="H72:L72"/>
    <mergeCell ref="N72:R72"/>
    <mergeCell ref="G63:G64"/>
    <mergeCell ref="M63:M64"/>
    <mergeCell ref="N63:R64"/>
    <mergeCell ref="H61:L61"/>
    <mergeCell ref="H62:L62"/>
    <mergeCell ref="G61:G62"/>
    <mergeCell ref="M61:M62"/>
    <mergeCell ref="H63:L63"/>
    <mergeCell ref="H64:L64"/>
    <mergeCell ref="G67:G68"/>
    <mergeCell ref="M67:M68"/>
    <mergeCell ref="N67:R68"/>
    <mergeCell ref="G65:G66"/>
    <mergeCell ref="M65:M66"/>
    <mergeCell ref="H65:L65"/>
    <mergeCell ref="H66:L66"/>
    <mergeCell ref="H67:L67"/>
    <mergeCell ref="H68:L68"/>
    <mergeCell ref="N65:R66"/>
    <mergeCell ref="G69:G70"/>
    <mergeCell ref="M69:M70"/>
    <mergeCell ref="J69:J70"/>
    <mergeCell ref="K69:L69"/>
    <mergeCell ref="K70:L70"/>
    <mergeCell ref="H70:I70"/>
    <mergeCell ref="H69:I69"/>
    <mergeCell ref="G77:G78"/>
    <mergeCell ref="H77:L78"/>
    <mergeCell ref="M77:M78"/>
    <mergeCell ref="N77:R78"/>
    <mergeCell ref="G75:G76"/>
    <mergeCell ref="H75:L76"/>
    <mergeCell ref="M75:M76"/>
    <mergeCell ref="N75:R76"/>
    <mergeCell ref="H79:L79"/>
    <mergeCell ref="N79:R79"/>
    <mergeCell ref="H80:L80"/>
    <mergeCell ref="N80:R80"/>
    <mergeCell ref="H74:L74"/>
    <mergeCell ref="N74:R74"/>
    <mergeCell ref="T7:Z7"/>
    <mergeCell ref="T8:Y8"/>
    <mergeCell ref="C53:D56"/>
    <mergeCell ref="A48:R48"/>
    <mergeCell ref="A7:R7"/>
    <mergeCell ref="E52:F52"/>
    <mergeCell ref="E51:F51"/>
    <mergeCell ref="A49:F49"/>
    <mergeCell ref="A8:F8"/>
    <mergeCell ref="W13:AA13"/>
  </mergeCells>
  <dataValidations count="2">
    <dataValidation allowBlank="1" showInputMessage="1" sqref="M77 M40"/>
    <dataValidation type="list" allowBlank="1" showInputMessage="1" showErrorMessage="1" sqref="H77:L77 H40:L40">
      <formula1>Сварка</formula1>
    </dataValidation>
  </dataValidations>
  <printOptions/>
  <pageMargins left="0.75" right="0.75" top="1" bottom="1" header="0.5" footer="0.5"/>
  <pageSetup horizontalDpi="300" verticalDpi="300" orientation="landscape" paperSize="9" scale="64" r:id="rId4"/>
  <rowBreaks count="1" manualBreakCount="1">
    <brk id="46" max="17" man="1"/>
  </rowBreaks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tabSelected="1" view="pageBreakPreview" zoomScaleSheetLayoutView="100" zoomScalePageLayoutView="0" workbookViewId="0" topLeftCell="A10">
      <selection activeCell="G11" sqref="G11"/>
    </sheetView>
  </sheetViews>
  <sheetFormatPr defaultColWidth="9.00390625" defaultRowHeight="15.75"/>
  <cols>
    <col min="1" max="1" width="11.625" style="0" customWidth="1"/>
    <col min="2" max="2" width="5.625" style="0" customWidth="1"/>
    <col min="3" max="3" width="9.625" style="0" customWidth="1"/>
    <col min="4" max="4" width="8.625" style="0" customWidth="1"/>
    <col min="5" max="6" width="5.625" style="0" customWidth="1"/>
    <col min="7" max="7" width="9.875" style="0" bestFit="1" customWidth="1"/>
    <col min="10" max="10" width="9.375" style="0" customWidth="1"/>
    <col min="12" max="12" width="10.75390625" style="0" customWidth="1"/>
    <col min="14" max="14" width="11.625" style="0" customWidth="1"/>
    <col min="15" max="15" width="6.625" style="0" customWidth="1"/>
    <col min="16" max="16" width="2.625" style="0" customWidth="1"/>
    <col min="17" max="19" width="10.625" style="0" customWidth="1"/>
    <col min="20" max="20" width="12.625" style="0" customWidth="1"/>
    <col min="21" max="21" width="10.375" style="0" bestFit="1" customWidth="1"/>
    <col min="23" max="23" width="8.875" style="0" bestFit="1" customWidth="1"/>
  </cols>
  <sheetData>
    <row r="1" ht="20.25">
      <c r="A1" s="121" t="s">
        <v>370</v>
      </c>
    </row>
    <row r="2" ht="20.25">
      <c r="A2" s="121" t="s">
        <v>371</v>
      </c>
    </row>
    <row r="3" ht="20.25">
      <c r="A3" s="121" t="s">
        <v>373</v>
      </c>
    </row>
    <row r="4" ht="20.25">
      <c r="A4" s="121" t="s">
        <v>372</v>
      </c>
    </row>
    <row r="5" ht="20.25">
      <c r="A5" s="121" t="s">
        <v>407</v>
      </c>
    </row>
    <row r="7" spans="1:26" ht="15.75">
      <c r="A7" s="245" t="s">
        <v>367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N7" s="245" t="s">
        <v>366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</row>
    <row r="8" spans="1:26" ht="18" customHeight="1">
      <c r="A8" s="40" t="s">
        <v>95</v>
      </c>
      <c r="B8" s="155" t="s">
        <v>92</v>
      </c>
      <c r="C8" s="210"/>
      <c r="D8" s="210"/>
      <c r="E8" s="210"/>
      <c r="F8" s="210"/>
      <c r="G8" s="18" t="s">
        <v>93</v>
      </c>
      <c r="H8" s="155" t="s">
        <v>94</v>
      </c>
      <c r="I8" s="207"/>
      <c r="J8" s="207"/>
      <c r="K8" s="207"/>
      <c r="L8" s="211"/>
      <c r="N8" s="40" t="s">
        <v>95</v>
      </c>
      <c r="O8" s="154" t="s">
        <v>92</v>
      </c>
      <c r="P8" s="161"/>
      <c r="Q8" s="161"/>
      <c r="R8" s="161"/>
      <c r="S8" s="161"/>
      <c r="T8" s="161"/>
      <c r="U8" s="18" t="s">
        <v>93</v>
      </c>
      <c r="V8" s="155" t="s">
        <v>94</v>
      </c>
      <c r="W8" s="207"/>
      <c r="X8" s="207"/>
      <c r="Y8" s="207"/>
      <c r="Z8" s="211"/>
    </row>
    <row r="9" spans="1:26" ht="18" customHeight="1">
      <c r="A9" s="10" t="s">
        <v>0</v>
      </c>
      <c r="B9" s="154" t="s">
        <v>96</v>
      </c>
      <c r="C9" s="154"/>
      <c r="D9" s="154"/>
      <c r="E9" s="154"/>
      <c r="F9" s="154"/>
      <c r="G9" s="22">
        <v>50</v>
      </c>
      <c r="H9" s="161" t="s">
        <v>17</v>
      </c>
      <c r="I9" s="161"/>
      <c r="J9" s="161"/>
      <c r="K9" s="161"/>
      <c r="L9" s="161"/>
      <c r="N9" s="36" t="s">
        <v>0</v>
      </c>
      <c r="O9" s="154" t="s">
        <v>96</v>
      </c>
      <c r="P9" s="154"/>
      <c r="Q9" s="154"/>
      <c r="R9" s="154"/>
      <c r="S9" s="154"/>
      <c r="T9" s="161"/>
      <c r="U9" s="6">
        <v>100</v>
      </c>
      <c r="V9" s="159" t="s">
        <v>17</v>
      </c>
      <c r="W9" s="159"/>
      <c r="X9" s="159"/>
      <c r="Y9" s="159"/>
      <c r="Z9" s="159"/>
    </row>
    <row r="10" spans="1:26" ht="18" customHeight="1">
      <c r="A10" s="11" t="s">
        <v>1</v>
      </c>
      <c r="B10" s="154" t="s">
        <v>96</v>
      </c>
      <c r="C10" s="154"/>
      <c r="D10" s="154"/>
      <c r="E10" s="154"/>
      <c r="F10" s="154"/>
      <c r="G10" s="23">
        <v>110</v>
      </c>
      <c r="H10" s="161" t="s">
        <v>2</v>
      </c>
      <c r="I10" s="161"/>
      <c r="J10" s="161"/>
      <c r="K10" s="161"/>
      <c r="L10" s="161"/>
      <c r="N10" s="35" t="s">
        <v>20</v>
      </c>
      <c r="O10" s="154" t="s">
        <v>96</v>
      </c>
      <c r="P10" s="154"/>
      <c r="Q10" s="154"/>
      <c r="R10" s="154"/>
      <c r="S10" s="154"/>
      <c r="T10" s="161"/>
      <c r="U10" s="6">
        <v>24</v>
      </c>
      <c r="V10" s="159" t="s">
        <v>21</v>
      </c>
      <c r="W10" s="159"/>
      <c r="X10" s="159"/>
      <c r="Y10" s="159"/>
      <c r="Z10" s="159"/>
    </row>
    <row r="11" spans="1:26" ht="18" customHeight="1">
      <c r="A11" s="11" t="s">
        <v>3</v>
      </c>
      <c r="B11" s="154" t="s">
        <v>96</v>
      </c>
      <c r="C11" s="154"/>
      <c r="D11" s="154"/>
      <c r="E11" s="154"/>
      <c r="F11" s="154"/>
      <c r="G11" s="22">
        <v>3</v>
      </c>
      <c r="H11" s="161" t="s">
        <v>4</v>
      </c>
      <c r="I11" s="161"/>
      <c r="J11" s="161"/>
      <c r="K11" s="161"/>
      <c r="L11" s="161"/>
      <c r="N11" s="17" t="s">
        <v>30</v>
      </c>
      <c r="O11" s="154" t="s">
        <v>96</v>
      </c>
      <c r="P11" s="154"/>
      <c r="Q11" s="154"/>
      <c r="R11" s="154"/>
      <c r="S11" s="154"/>
      <c r="T11" s="161"/>
      <c r="U11" s="6">
        <v>0</v>
      </c>
      <c r="V11" s="159" t="s">
        <v>31</v>
      </c>
      <c r="W11" s="159"/>
      <c r="X11" s="159"/>
      <c r="Y11" s="159"/>
      <c r="Z11" s="159"/>
    </row>
    <row r="12" spans="1:26" ht="18" customHeight="1">
      <c r="A12" s="36" t="s">
        <v>201</v>
      </c>
      <c r="B12" s="154" t="s">
        <v>96</v>
      </c>
      <c r="C12" s="154"/>
      <c r="D12" s="154"/>
      <c r="E12" s="154"/>
      <c r="F12" s="154"/>
      <c r="G12" s="24" t="str">
        <f>IF(G9&lt;=20,0.0000118,IF(G9&lt;=75,0.000012,IF(G9&lt;=100,0.0000122,IF(G9&lt;=125,0.0000124,IF(G9&lt;=150,0.0000125,IF(G9&lt;=175,0.0000127,IF(G9&lt;=200,0.0000128,IF(G9&lt;=225,0.000013,""))))))))&amp;IF(G9&gt;225,IF(G9&lt;=250,0.0000131,IF(G9&lt;=275,0.0000132,IF(G9&lt;=300,0.0000134,IF(G9&lt;=325,0.0000135,IF(G9&lt;=350,0.0000136,IF(G9&lt;=375,0.0000137,IF(G9&lt;=400,0.0000138,""))))))),"")</f>
        <v>0,000012</v>
      </c>
      <c r="H12" s="161" t="s">
        <v>5</v>
      </c>
      <c r="I12" s="161"/>
      <c r="J12" s="161"/>
      <c r="K12" s="161"/>
      <c r="L12" s="161"/>
      <c r="N12" s="35" t="s">
        <v>3</v>
      </c>
      <c r="O12" s="154" t="s">
        <v>96</v>
      </c>
      <c r="P12" s="154"/>
      <c r="Q12" s="154"/>
      <c r="R12" s="154"/>
      <c r="S12" s="154"/>
      <c r="T12" s="161"/>
      <c r="U12" s="6">
        <v>4.5</v>
      </c>
      <c r="V12" s="159" t="s">
        <v>32</v>
      </c>
      <c r="W12" s="159"/>
      <c r="X12" s="159"/>
      <c r="Y12" s="159"/>
      <c r="Z12" s="159"/>
    </row>
    <row r="13" spans="1:26" ht="18" customHeight="1">
      <c r="A13" s="10" t="s">
        <v>6</v>
      </c>
      <c r="B13" s="157" t="s">
        <v>101</v>
      </c>
      <c r="C13" s="157"/>
      <c r="D13" s="157"/>
      <c r="E13" s="157"/>
      <c r="F13" s="157"/>
      <c r="G13" s="24">
        <f>G12*G10*G9</f>
        <v>0.066</v>
      </c>
      <c r="H13" s="161" t="s">
        <v>7</v>
      </c>
      <c r="I13" s="161"/>
      <c r="J13" s="161"/>
      <c r="K13" s="161"/>
      <c r="L13" s="161"/>
      <c r="N13" s="35" t="s">
        <v>34</v>
      </c>
      <c r="O13" s="154" t="s">
        <v>96</v>
      </c>
      <c r="P13" s="154"/>
      <c r="Q13" s="154"/>
      <c r="R13" s="154"/>
      <c r="S13" s="154"/>
      <c r="T13" s="161"/>
      <c r="U13" s="6">
        <v>0.5</v>
      </c>
      <c r="V13" s="159" t="s">
        <v>33</v>
      </c>
      <c r="W13" s="159"/>
      <c r="X13" s="159"/>
      <c r="Y13" s="159"/>
      <c r="Z13" s="159"/>
    </row>
    <row r="14" spans="1:26" ht="18" customHeight="1">
      <c r="A14" s="20" t="s">
        <v>8</v>
      </c>
      <c r="B14" s="154" t="s">
        <v>97</v>
      </c>
      <c r="C14" s="223"/>
      <c r="D14" s="223"/>
      <c r="E14" s="223"/>
      <c r="F14" s="223"/>
      <c r="G14" s="25">
        <f>G11/G10</f>
        <v>0.02727272727272727</v>
      </c>
      <c r="H14" s="161" t="s">
        <v>9</v>
      </c>
      <c r="I14" s="161"/>
      <c r="J14" s="161"/>
      <c r="K14" s="161"/>
      <c r="L14" s="161"/>
      <c r="N14" s="10" t="s">
        <v>108</v>
      </c>
      <c r="O14" s="154" t="str">
        <f>IF(U14=1,"без растяжки",IF(U14=0.5,"растяжка на половину теплового удлинения участка","ошибка"))</f>
        <v>без растяжки</v>
      </c>
      <c r="P14" s="154"/>
      <c r="Q14" s="154"/>
      <c r="R14" s="154"/>
      <c r="S14" s="154"/>
      <c r="T14" s="238"/>
      <c r="U14" s="6">
        <v>1</v>
      </c>
      <c r="V14" s="159" t="s">
        <v>113</v>
      </c>
      <c r="W14" s="159"/>
      <c r="X14" s="159"/>
      <c r="Y14" s="159"/>
      <c r="Z14" s="159"/>
    </row>
    <row r="15" spans="1:26" ht="18" customHeight="1">
      <c r="A15" s="10" t="s">
        <v>10</v>
      </c>
      <c r="B15" s="154" t="s">
        <v>96</v>
      </c>
      <c r="C15" s="154"/>
      <c r="D15" s="154"/>
      <c r="E15" s="154"/>
      <c r="F15" s="154"/>
      <c r="G15" s="22">
        <v>90</v>
      </c>
      <c r="H15" s="161" t="s">
        <v>11</v>
      </c>
      <c r="I15" s="161"/>
      <c r="J15" s="161"/>
      <c r="K15" s="161"/>
      <c r="L15" s="161"/>
      <c r="N15" s="36" t="s">
        <v>201</v>
      </c>
      <c r="O15" s="154" t="s">
        <v>96</v>
      </c>
      <c r="P15" s="154"/>
      <c r="Q15" s="154"/>
      <c r="R15" s="154"/>
      <c r="S15" s="154"/>
      <c r="T15" s="161"/>
      <c r="U15" s="24" t="str">
        <f>IF(U9&lt;=20,0.0000118,IF(U9&lt;=75,0.000012,IF(U9&lt;=100,0.0000122,IF(U9&lt;=125,0.0000124,IF(U9&lt;=150,0.0000125,IF(U9&lt;=175,0.0000127,IF(U9&lt;=200,0.0000128,IF(U9&lt;=225,0.000013,""))))))))&amp;IF(U9&gt;225,IF(U9&lt;=250,0.0000131,IF(U9&lt;=275,0.0000132,IF(U9&lt;=300,0.0000134,IF(U9&lt;=325,0.0000135,IF(U9&lt;=350,0.0000136,IF(U9&lt;=375,0.0000137,IF(U9&lt;=400,0.0000138,""))))))),"")</f>
        <v>0,0000122</v>
      </c>
      <c r="V15" s="159" t="s">
        <v>5</v>
      </c>
      <c r="W15" s="159"/>
      <c r="X15" s="159"/>
      <c r="Y15" s="159"/>
      <c r="Z15" s="159"/>
    </row>
    <row r="16" spans="1:26" ht="18" customHeight="1">
      <c r="A16" s="10" t="s">
        <v>12</v>
      </c>
      <c r="B16" s="154" t="s">
        <v>96</v>
      </c>
      <c r="C16" s="154"/>
      <c r="D16" s="154"/>
      <c r="E16" s="154"/>
      <c r="F16" s="154"/>
      <c r="G16" s="26">
        <f>G15-90</f>
        <v>0</v>
      </c>
      <c r="H16" s="161"/>
      <c r="I16" s="161"/>
      <c r="J16" s="161"/>
      <c r="K16" s="161"/>
      <c r="L16" s="161"/>
      <c r="N16" s="36" t="s">
        <v>6</v>
      </c>
      <c r="O16" s="239" t="s">
        <v>110</v>
      </c>
      <c r="P16" s="240"/>
      <c r="Q16" s="240"/>
      <c r="R16" s="240"/>
      <c r="S16" s="240"/>
      <c r="T16" s="160"/>
      <c r="U16" s="7">
        <f>U15*U10*U9</f>
        <v>0.02928</v>
      </c>
      <c r="V16" s="159" t="s">
        <v>22</v>
      </c>
      <c r="W16" s="159"/>
      <c r="X16" s="159"/>
      <c r="Y16" s="159"/>
      <c r="Z16" s="159"/>
    </row>
    <row r="17" spans="1:26" ht="18" customHeight="1">
      <c r="A17" s="20" t="s">
        <v>27</v>
      </c>
      <c r="B17" s="154" t="s">
        <v>96</v>
      </c>
      <c r="C17" s="154"/>
      <c r="D17" s="154"/>
      <c r="E17" s="154"/>
      <c r="F17" s="154"/>
      <c r="G17" s="22">
        <v>0.219</v>
      </c>
      <c r="H17" s="161" t="s">
        <v>13</v>
      </c>
      <c r="I17" s="161"/>
      <c r="J17" s="161"/>
      <c r="K17" s="161"/>
      <c r="L17" s="161"/>
      <c r="N17" s="17" t="s">
        <v>27</v>
      </c>
      <c r="O17" s="154" t="s">
        <v>96</v>
      </c>
      <c r="P17" s="154"/>
      <c r="Q17" s="154"/>
      <c r="R17" s="154"/>
      <c r="S17" s="154"/>
      <c r="T17" s="161"/>
      <c r="U17" s="6">
        <v>0.076</v>
      </c>
      <c r="V17" s="159" t="s">
        <v>13</v>
      </c>
      <c r="W17" s="159"/>
      <c r="X17" s="159"/>
      <c r="Y17" s="159"/>
      <c r="Z17" s="159"/>
    </row>
    <row r="18" spans="1:26" ht="18" customHeight="1" thickBot="1">
      <c r="A18" s="20" t="s">
        <v>16</v>
      </c>
      <c r="B18" s="154" t="s">
        <v>96</v>
      </c>
      <c r="C18" s="154"/>
      <c r="D18" s="154"/>
      <c r="E18" s="154"/>
      <c r="F18" s="154"/>
      <c r="G18" s="28" t="str">
        <f>IF(G9&lt;=20,2.05*9.81*10^4,IF(G9&lt;=75,1.99*9.81*10^4,IF(G9&lt;=100,1.975*9.81*10^4,IF(G9&lt;=125,1.95*9.81*10^4,IF(G9&lt;=150,1.93*9.81*10^4,IF(G9&lt;=175,1.915*9.81*10^4,IF(G9&lt;=200,1.875*9.81*10^4,IF(G9&lt;=225,1.847*9.81*10^4,""))))))))&amp;IF(G9&gt;225,IF(G9&lt;=250,1.82*9.81*10^4,IF(G9&lt;=275,1.79*9.81*10^4,IF(G9&lt;=300,1.755*9.81*10^4,IF(G9&lt;=325,1.727*9.81*10^4,IF(G9&lt;=350,1.695*9.81*10^4,IF(G9&lt;=375,1.665*9.81*10^4,IF(G9&lt;=400,1.63*9.81*10^4,""))))))),"")</f>
        <v>195219</v>
      </c>
      <c r="H18" s="161" t="s">
        <v>14</v>
      </c>
      <c r="I18" s="161"/>
      <c r="J18" s="161"/>
      <c r="K18" s="161"/>
      <c r="L18" s="161"/>
      <c r="N18" s="36" t="s">
        <v>23</v>
      </c>
      <c r="O18" s="154" t="s">
        <v>96</v>
      </c>
      <c r="P18" s="154"/>
      <c r="Q18" s="154"/>
      <c r="R18" s="154"/>
      <c r="S18" s="154"/>
      <c r="T18" s="161"/>
      <c r="U18" s="6">
        <v>0.003</v>
      </c>
      <c r="V18" s="159" t="s">
        <v>24</v>
      </c>
      <c r="W18" s="159"/>
      <c r="X18" s="159"/>
      <c r="Y18" s="159"/>
      <c r="Z18" s="159"/>
    </row>
    <row r="19" spans="1:26" ht="18" customHeight="1" thickBot="1">
      <c r="A19" s="241" t="s">
        <v>15</v>
      </c>
      <c r="B19" s="173" t="s">
        <v>100</v>
      </c>
      <c r="C19" s="19" t="s">
        <v>99</v>
      </c>
      <c r="D19" s="217" t="s">
        <v>140</v>
      </c>
      <c r="E19" s="19" t="s">
        <v>102</v>
      </c>
      <c r="F19" s="232" t="s">
        <v>106</v>
      </c>
      <c r="G19" s="243">
        <f>1.5*G13*G18*G17*(G14+1+(G14+3)*SIN(RADIANS(G16))/(G14+1))/((G10^2)*COS(RADIANS(G16)))</f>
        <v>0.3593368705537191</v>
      </c>
      <c r="H19" s="180" t="s">
        <v>19</v>
      </c>
      <c r="I19" s="181"/>
      <c r="J19" s="181"/>
      <c r="K19" s="181"/>
      <c r="L19" s="181"/>
      <c r="N19" s="17" t="s">
        <v>25</v>
      </c>
      <c r="O19" s="154" t="s">
        <v>111</v>
      </c>
      <c r="P19" s="154"/>
      <c r="Q19" s="154"/>
      <c r="R19" s="154"/>
      <c r="S19" s="154"/>
      <c r="T19" s="161"/>
      <c r="U19" s="8">
        <f>(U17-U18)/2</f>
        <v>0.0365</v>
      </c>
      <c r="V19" s="159" t="s">
        <v>26</v>
      </c>
      <c r="W19" s="159"/>
      <c r="X19" s="159"/>
      <c r="Y19" s="159"/>
      <c r="Z19" s="159"/>
    </row>
    <row r="20" spans="1:26" ht="18" customHeight="1" thickBot="1" thickTop="1">
      <c r="A20" s="242"/>
      <c r="B20" s="234"/>
      <c r="C20" s="21" t="s">
        <v>98</v>
      </c>
      <c r="D20" s="190"/>
      <c r="E20" s="21" t="s">
        <v>103</v>
      </c>
      <c r="F20" s="176"/>
      <c r="G20" s="244"/>
      <c r="H20" s="180"/>
      <c r="I20" s="181"/>
      <c r="J20" s="181"/>
      <c r="K20" s="181"/>
      <c r="L20" s="181"/>
      <c r="N20" s="17" t="s">
        <v>28</v>
      </c>
      <c r="O20" s="155" t="s">
        <v>112</v>
      </c>
      <c r="P20" s="207"/>
      <c r="Q20" s="207"/>
      <c r="R20" s="207"/>
      <c r="S20" s="207"/>
      <c r="T20" s="211"/>
      <c r="U20" s="8">
        <f>U18*U11/U19^2</f>
        <v>0</v>
      </c>
      <c r="V20" s="159" t="s">
        <v>29</v>
      </c>
      <c r="W20" s="159"/>
      <c r="X20" s="159"/>
      <c r="Y20" s="159"/>
      <c r="Z20" s="159"/>
    </row>
    <row r="21" spans="1:26" ht="18" customHeight="1">
      <c r="A21" s="221" t="s">
        <v>189</v>
      </c>
      <c r="B21" s="164" t="s">
        <v>191</v>
      </c>
      <c r="C21" s="165"/>
      <c r="D21" s="165"/>
      <c r="E21" s="165"/>
      <c r="F21" s="166"/>
      <c r="G21" s="170">
        <f>VLOOKUP(B21,AD26:AJ29,7,FALSE)</f>
        <v>0.95</v>
      </c>
      <c r="H21" s="161" t="s">
        <v>190</v>
      </c>
      <c r="I21" s="161"/>
      <c r="J21" s="161"/>
      <c r="K21" s="161"/>
      <c r="L21" s="161"/>
      <c r="N21" s="17" t="s">
        <v>35</v>
      </c>
      <c r="O21" s="236" t="str">
        <f>IF(U11=0,"k = 1",IF(U20&lt;=1,"Формула Кларка и Рейснера: k = h/1,65","Формула Кармана: k = (1+12*h^2)/(10+12*h^2)"))</f>
        <v>k = 1</v>
      </c>
      <c r="P21" s="236"/>
      <c r="Q21" s="236"/>
      <c r="R21" s="236"/>
      <c r="S21" s="236"/>
      <c r="T21" s="237"/>
      <c r="U21" s="8">
        <f>IF(U11=0,1,IF(U20&lt;=1,U20/1.65,(1+12*U20^2)/(10+12*U20^2)))</f>
        <v>1</v>
      </c>
      <c r="V21" s="159" t="s">
        <v>107</v>
      </c>
      <c r="W21" s="159"/>
      <c r="X21" s="159"/>
      <c r="Y21" s="159"/>
      <c r="Z21" s="159"/>
    </row>
    <row r="22" spans="1:26" ht="18" customHeight="1">
      <c r="A22" s="199"/>
      <c r="B22" s="167"/>
      <c r="C22" s="168"/>
      <c r="D22" s="168"/>
      <c r="E22" s="168"/>
      <c r="F22" s="169"/>
      <c r="G22" s="222"/>
      <c r="H22" s="161"/>
      <c r="I22" s="161"/>
      <c r="J22" s="161"/>
      <c r="K22" s="161"/>
      <c r="L22" s="161"/>
      <c r="N22" s="17" t="s">
        <v>36</v>
      </c>
      <c r="O22" s="155" t="str">
        <f>IF(U11=0,"m = 1","m = 0,9/(h^⅔)")</f>
        <v>m = 1</v>
      </c>
      <c r="P22" s="207"/>
      <c r="Q22" s="207"/>
      <c r="R22" s="207"/>
      <c r="S22" s="207"/>
      <c r="T22" s="211"/>
      <c r="U22" s="8">
        <f>IF(U11=0,1,0.9/(U20^(2/3)))</f>
        <v>1</v>
      </c>
      <c r="V22" s="159" t="s">
        <v>37</v>
      </c>
      <c r="W22" s="159"/>
      <c r="X22" s="159"/>
      <c r="Y22" s="159"/>
      <c r="Z22" s="159"/>
    </row>
    <row r="23" spans="1:26" ht="18" customHeight="1" thickBot="1">
      <c r="A23" s="17" t="s">
        <v>198</v>
      </c>
      <c r="B23" s="154" t="s">
        <v>105</v>
      </c>
      <c r="C23" s="154"/>
      <c r="D23" s="154"/>
      <c r="E23" s="154"/>
      <c r="F23" s="155"/>
      <c r="G23" s="44">
        <v>130</v>
      </c>
      <c r="H23" s="156" t="s">
        <v>200</v>
      </c>
      <c r="I23" s="151"/>
      <c r="J23" s="151"/>
      <c r="K23" s="151"/>
      <c r="L23" s="152"/>
      <c r="N23" s="17" t="s">
        <v>16</v>
      </c>
      <c r="O23" s="154" t="s">
        <v>96</v>
      </c>
      <c r="P23" s="154"/>
      <c r="Q23" s="154"/>
      <c r="R23" s="154"/>
      <c r="S23" s="154"/>
      <c r="T23" s="161"/>
      <c r="U23" s="33" t="str">
        <f>IF(U9&lt;=20,2.05*9.81*10^4,IF(U9&lt;=75,1.99*9.81*10^4,IF(U9&lt;=100,1.975*9.81*10^4,IF(U9&lt;=125,1.95*9.81*10^4,IF(U9&lt;=150,1.93*9.81*10^4,IF(U9&lt;=175,1.915*9.81*10^4,IF(U9&lt;=200,1.875*9.81*10^4,IF(U9&lt;=225,1.847*9.81*10^4,""))))))))&amp;IF(U9&gt;225,IF(U9&lt;=250,1.82*9.81*10^4,IF(U9&lt;=275,1.79*9.81*10^4,IF(U9&lt;=300,1.755*9.81*10^4,IF(U9&lt;=325,1.727*9.81*10^4,IF(U9&lt;=350,1.695*9.81*10^4,IF(U9&lt;=375,1.665*9.81*10^4,IF(U9&lt;=400,1.63*9.81*10^4,""))))))),"")</f>
        <v>193747,5</v>
      </c>
      <c r="V23" s="159" t="s">
        <v>14</v>
      </c>
      <c r="W23" s="159"/>
      <c r="X23" s="159"/>
      <c r="Y23" s="159"/>
      <c r="Z23" s="159"/>
    </row>
    <row r="24" spans="1:36" ht="18" customHeight="1" thickBot="1">
      <c r="A24" s="36" t="s">
        <v>18</v>
      </c>
      <c r="B24" s="157" t="s">
        <v>199</v>
      </c>
      <c r="C24" s="154"/>
      <c r="D24" s="154"/>
      <c r="E24" s="154"/>
      <c r="F24" s="155"/>
      <c r="G24" s="31">
        <f>G23*G21</f>
        <v>123.5</v>
      </c>
      <c r="H24" s="158" t="s">
        <v>42</v>
      </c>
      <c r="I24" s="159"/>
      <c r="J24" s="159"/>
      <c r="K24" s="159"/>
      <c r="L24" s="159"/>
      <c r="N24" s="182" t="s">
        <v>115</v>
      </c>
      <c r="O24" s="251" t="s">
        <v>122</v>
      </c>
      <c r="P24" s="19">
        <v>1</v>
      </c>
      <c r="Q24" s="252" t="s">
        <v>123</v>
      </c>
      <c r="R24" s="252"/>
      <c r="S24" s="252"/>
      <c r="T24" s="253"/>
      <c r="U24" s="184">
        <f>2*(1/U21*(3.14*U11*U13^2-2.28*U11^2*U13+1.4*U11^3)+0.67*U13^3+U12*U13^2-4*U11*U13^2+2*U11^2*U13-1.33*U11^3)</f>
        <v>2.4175</v>
      </c>
      <c r="V24" s="195" t="s">
        <v>117</v>
      </c>
      <c r="W24" s="196"/>
      <c r="X24" s="196"/>
      <c r="Y24" s="196"/>
      <c r="Z24" s="197"/>
      <c r="AD24" s="138" t="s">
        <v>197</v>
      </c>
      <c r="AE24" s="138"/>
      <c r="AF24" s="138"/>
      <c r="AG24" s="138"/>
      <c r="AH24" s="138"/>
      <c r="AI24" s="138"/>
      <c r="AJ24" s="138"/>
    </row>
    <row r="25" spans="14:36" ht="18" customHeight="1">
      <c r="N25" s="163"/>
      <c r="O25" s="198"/>
      <c r="P25" s="29" t="s">
        <v>35</v>
      </c>
      <c r="Q25" s="254"/>
      <c r="R25" s="254"/>
      <c r="S25" s="254"/>
      <c r="T25" s="200"/>
      <c r="U25" s="185"/>
      <c r="V25" s="198"/>
      <c r="W25" s="199"/>
      <c r="X25" s="199"/>
      <c r="Y25" s="199"/>
      <c r="Z25" s="200"/>
      <c r="AD25" s="223" t="s">
        <v>195</v>
      </c>
      <c r="AE25" s="223"/>
      <c r="AF25" s="223"/>
      <c r="AG25" s="223"/>
      <c r="AH25" s="223"/>
      <c r="AI25" s="223"/>
      <c r="AJ25" s="41" t="s">
        <v>196</v>
      </c>
    </row>
    <row r="26" spans="14:36" ht="18" customHeight="1" thickBot="1">
      <c r="N26" s="17" t="s">
        <v>39</v>
      </c>
      <c r="O26" s="154" t="s">
        <v>124</v>
      </c>
      <c r="P26" s="154"/>
      <c r="Q26" s="154"/>
      <c r="R26" s="154"/>
      <c r="S26" s="154"/>
      <c r="T26" s="161"/>
      <c r="U26" s="9">
        <f>0.05*(U17^4-(U17-2*U18)^4)*10^5</f>
        <v>0.04676088000000005</v>
      </c>
      <c r="V26" s="159" t="s">
        <v>38</v>
      </c>
      <c r="W26" s="159"/>
      <c r="X26" s="159"/>
      <c r="Y26" s="159"/>
      <c r="Z26" s="159"/>
      <c r="AD26" s="42" t="s">
        <v>191</v>
      </c>
      <c r="AE26" s="37"/>
      <c r="AF26" s="37"/>
      <c r="AG26" s="37"/>
      <c r="AH26" s="37"/>
      <c r="AI26" s="34"/>
      <c r="AJ26" s="41">
        <v>0.95</v>
      </c>
    </row>
    <row r="27" spans="14:36" ht="18" customHeight="1" thickBot="1">
      <c r="N27" s="20" t="s">
        <v>40</v>
      </c>
      <c r="O27" s="154" t="s">
        <v>114</v>
      </c>
      <c r="P27" s="154"/>
      <c r="Q27" s="154"/>
      <c r="R27" s="154"/>
      <c r="S27" s="154"/>
      <c r="T27" s="242"/>
      <c r="U27" s="27">
        <f>U16*(U23*10^6)*(U26/10^5)/U24</f>
        <v>1097.2949300665327</v>
      </c>
      <c r="V27" s="152" t="s">
        <v>41</v>
      </c>
      <c r="W27" s="159"/>
      <c r="X27" s="159"/>
      <c r="Y27" s="159"/>
      <c r="Z27" s="159"/>
      <c r="AD27" s="42" t="s">
        <v>194</v>
      </c>
      <c r="AE27" s="37"/>
      <c r="AF27" s="37"/>
      <c r="AG27" s="37"/>
      <c r="AH27" s="37"/>
      <c r="AI27" s="34"/>
      <c r="AJ27" s="41">
        <v>0.9</v>
      </c>
    </row>
    <row r="28" spans="14:36" ht="18" customHeight="1">
      <c r="N28" s="162" t="s">
        <v>15</v>
      </c>
      <c r="O28" s="173" t="s">
        <v>116</v>
      </c>
      <c r="P28" s="232"/>
      <c r="Q28" s="232"/>
      <c r="R28" s="232"/>
      <c r="S28" s="232"/>
      <c r="T28" s="233"/>
      <c r="U28" s="230" t="str">
        <f>IF(U16*U23*U17*U13*U22*U14/U24&gt;U32,ROUND(U16*U23*U17*U13*U22*U14/U24,1)&amp;"     внимание!",ROUND(U16*U23*U17*U13*U22*U14/U24,1))</f>
        <v>89,2     внимание!</v>
      </c>
      <c r="V28" s="224" t="s">
        <v>43</v>
      </c>
      <c r="W28" s="225"/>
      <c r="X28" s="225"/>
      <c r="Y28" s="225"/>
      <c r="Z28" s="226"/>
      <c r="AD28" s="42" t="s">
        <v>192</v>
      </c>
      <c r="AE28" s="37"/>
      <c r="AF28" s="37"/>
      <c r="AG28" s="37"/>
      <c r="AH28" s="37"/>
      <c r="AI28" s="34"/>
      <c r="AJ28" s="41">
        <v>0.7</v>
      </c>
    </row>
    <row r="29" spans="14:36" ht="18" customHeight="1" thickBot="1">
      <c r="N29" s="250"/>
      <c r="O29" s="234"/>
      <c r="P29" s="190"/>
      <c r="Q29" s="190"/>
      <c r="R29" s="190"/>
      <c r="S29" s="190"/>
      <c r="T29" s="235"/>
      <c r="U29" s="231"/>
      <c r="V29" s="227"/>
      <c r="W29" s="228"/>
      <c r="X29" s="228"/>
      <c r="Y29" s="228"/>
      <c r="Z29" s="229"/>
      <c r="AD29" s="42" t="s">
        <v>193</v>
      </c>
      <c r="AE29" s="37"/>
      <c r="AF29" s="37"/>
      <c r="AG29" s="37"/>
      <c r="AH29" s="37"/>
      <c r="AI29" s="34"/>
      <c r="AJ29" s="41">
        <v>1</v>
      </c>
    </row>
    <row r="30" spans="14:26" ht="18" customHeight="1">
      <c r="N30" s="36" t="s">
        <v>189</v>
      </c>
      <c r="O30" s="247" t="s">
        <v>192</v>
      </c>
      <c r="P30" s="248"/>
      <c r="Q30" s="248"/>
      <c r="R30" s="248"/>
      <c r="S30" s="248"/>
      <c r="T30" s="249"/>
      <c r="U30" s="43">
        <f>VLOOKUP(O30,AD26:AJ29,7,FALSE)</f>
        <v>0.7</v>
      </c>
      <c r="V30" s="152" t="s">
        <v>190</v>
      </c>
      <c r="W30" s="159"/>
      <c r="X30" s="159"/>
      <c r="Y30" s="159"/>
      <c r="Z30" s="159"/>
    </row>
    <row r="31" spans="14:26" ht="18" customHeight="1" thickBot="1">
      <c r="N31" s="17" t="s">
        <v>198</v>
      </c>
      <c r="O31" s="155" t="s">
        <v>105</v>
      </c>
      <c r="P31" s="207"/>
      <c r="Q31" s="207"/>
      <c r="R31" s="207"/>
      <c r="S31" s="207"/>
      <c r="T31" s="210"/>
      <c r="U31" s="44">
        <v>125</v>
      </c>
      <c r="V31" s="152" t="s">
        <v>200</v>
      </c>
      <c r="W31" s="159"/>
      <c r="X31" s="159"/>
      <c r="Y31" s="159"/>
      <c r="Z31" s="159"/>
    </row>
    <row r="32" spans="14:26" ht="19.5" thickBot="1">
      <c r="N32" s="36" t="s">
        <v>18</v>
      </c>
      <c r="O32" s="239" t="s">
        <v>199</v>
      </c>
      <c r="P32" s="207"/>
      <c r="Q32" s="207"/>
      <c r="R32" s="207"/>
      <c r="S32" s="207"/>
      <c r="T32" s="246"/>
      <c r="U32" s="31">
        <f>U31*U30</f>
        <v>87.5</v>
      </c>
      <c r="V32" s="152" t="s">
        <v>42</v>
      </c>
      <c r="W32" s="159"/>
      <c r="X32" s="159"/>
      <c r="Y32" s="159"/>
      <c r="Z32" s="159"/>
    </row>
  </sheetData>
  <sheetProtection password="CE28" sheet="1" objects="1" scenarios="1"/>
  <mergeCells count="91">
    <mergeCell ref="O32:T32"/>
    <mergeCell ref="H17:L17"/>
    <mergeCell ref="H16:L16"/>
    <mergeCell ref="H18:L18"/>
    <mergeCell ref="O27:T27"/>
    <mergeCell ref="O30:T30"/>
    <mergeCell ref="N28:N29"/>
    <mergeCell ref="N24:N25"/>
    <mergeCell ref="O24:O25"/>
    <mergeCell ref="Q24:T25"/>
    <mergeCell ref="B12:F12"/>
    <mergeCell ref="B8:F8"/>
    <mergeCell ref="B13:F13"/>
    <mergeCell ref="B14:F14"/>
    <mergeCell ref="B10:F10"/>
    <mergeCell ref="B11:F11"/>
    <mergeCell ref="V32:Z32"/>
    <mergeCell ref="V13:Z13"/>
    <mergeCell ref="V20:Z20"/>
    <mergeCell ref="V21:Z21"/>
    <mergeCell ref="V22:Z22"/>
    <mergeCell ref="V26:Z26"/>
    <mergeCell ref="V27:Z27"/>
    <mergeCell ref="V16:Z16"/>
    <mergeCell ref="V23:Z23"/>
    <mergeCell ref="V19:Z19"/>
    <mergeCell ref="N7:Z7"/>
    <mergeCell ref="V9:Z9"/>
    <mergeCell ref="V10:Z10"/>
    <mergeCell ref="H12:L12"/>
    <mergeCell ref="A7:L7"/>
    <mergeCell ref="H9:L9"/>
    <mergeCell ref="H10:L10"/>
    <mergeCell ref="H11:L11"/>
    <mergeCell ref="H8:L8"/>
    <mergeCell ref="B9:F9"/>
    <mergeCell ref="H13:L13"/>
    <mergeCell ref="H14:L14"/>
    <mergeCell ref="H15:L15"/>
    <mergeCell ref="A19:A20"/>
    <mergeCell ref="G19:G20"/>
    <mergeCell ref="H19:L20"/>
    <mergeCell ref="D19:D20"/>
    <mergeCell ref="B19:B20"/>
    <mergeCell ref="B18:F18"/>
    <mergeCell ref="F19:F20"/>
    <mergeCell ref="B15:F15"/>
    <mergeCell ref="B16:F16"/>
    <mergeCell ref="B17:F17"/>
    <mergeCell ref="V24:Z25"/>
    <mergeCell ref="V18:Z18"/>
    <mergeCell ref="V17:Z17"/>
    <mergeCell ref="V15:Z15"/>
    <mergeCell ref="O23:T23"/>
    <mergeCell ref="B23:F23"/>
    <mergeCell ref="B24:F24"/>
    <mergeCell ref="O16:T16"/>
    <mergeCell ref="O8:T8"/>
    <mergeCell ref="O9:T9"/>
    <mergeCell ref="O10:T10"/>
    <mergeCell ref="O11:T11"/>
    <mergeCell ref="V8:Z8"/>
    <mergeCell ref="V14:Z14"/>
    <mergeCell ref="V11:Z11"/>
    <mergeCell ref="V12:Z12"/>
    <mergeCell ref="O21:T21"/>
    <mergeCell ref="O22:T22"/>
    <mergeCell ref="O12:T12"/>
    <mergeCell ref="O13:T13"/>
    <mergeCell ref="O19:T19"/>
    <mergeCell ref="O20:T20"/>
    <mergeCell ref="O14:T14"/>
    <mergeCell ref="O18:T18"/>
    <mergeCell ref="O17:T17"/>
    <mergeCell ref="O15:T15"/>
    <mergeCell ref="U28:U29"/>
    <mergeCell ref="O28:T29"/>
    <mergeCell ref="U24:U25"/>
    <mergeCell ref="O26:T26"/>
    <mergeCell ref="H24:L24"/>
    <mergeCell ref="H23:L23"/>
    <mergeCell ref="A21:A22"/>
    <mergeCell ref="B21:F22"/>
    <mergeCell ref="G21:G22"/>
    <mergeCell ref="H21:L22"/>
    <mergeCell ref="AD24:AJ24"/>
    <mergeCell ref="O31:T31"/>
    <mergeCell ref="V31:Z31"/>
    <mergeCell ref="V30:Z30"/>
    <mergeCell ref="AD25:AI25"/>
    <mergeCell ref="V28:Z29"/>
  </mergeCells>
  <dataValidations count="4">
    <dataValidation errorStyle="warning" type="list" allowBlank="1" showErrorMessage="1" sqref="O30:T30">
      <formula1>Сварка</formula1>
    </dataValidation>
    <dataValidation allowBlank="1" showInputMessage="1" sqref="U30 G21"/>
    <dataValidation errorStyle="warning" type="list" allowBlank="1" showErrorMessage="1" sqref="U14">
      <formula1>"1,0,5"</formula1>
    </dataValidation>
    <dataValidation type="list" allowBlank="1" showInputMessage="1" showErrorMessage="1" sqref="B21:F21">
      <formula1>Сварка</formula1>
    </dataValidation>
  </dataValidations>
  <printOptions/>
  <pageMargins left="0.75" right="0.75" top="1" bottom="1" header="0.5" footer="0.5"/>
  <pageSetup horizontalDpi="300" verticalDpi="300" orientation="landscape" paperSize="9" scale="82" r:id="rId4"/>
  <colBreaks count="1" manualBreakCount="1">
    <brk id="1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4"/>
  <sheetViews>
    <sheetView view="pageBreakPreview" zoomScale="80" zoomScaleSheetLayoutView="80" zoomScalePageLayoutView="0" workbookViewId="0" topLeftCell="A1">
      <selection activeCell="I23" sqref="I23:I24"/>
    </sheetView>
  </sheetViews>
  <sheetFormatPr defaultColWidth="9.00390625" defaultRowHeight="15.75"/>
  <sheetData>
    <row r="1" spans="1:10" ht="31.5" customHeight="1">
      <c r="A1" s="273" t="s">
        <v>342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5.75">
      <c r="A2" s="255" t="s">
        <v>336</v>
      </c>
      <c r="B2" s="269" t="s">
        <v>154</v>
      </c>
      <c r="C2" s="269"/>
      <c r="D2" s="269"/>
      <c r="E2" s="269"/>
      <c r="F2" s="269"/>
      <c r="G2" s="269"/>
      <c r="H2" s="269"/>
      <c r="I2" s="269"/>
      <c r="J2" s="269"/>
    </row>
    <row r="3" spans="1:10" ht="31.5">
      <c r="A3" s="256"/>
      <c r="B3" s="108" t="s">
        <v>155</v>
      </c>
      <c r="C3" s="108" t="s">
        <v>156</v>
      </c>
      <c r="D3" s="108" t="s">
        <v>158</v>
      </c>
      <c r="E3" s="108" t="s">
        <v>159</v>
      </c>
      <c r="F3" s="108" t="s">
        <v>160</v>
      </c>
      <c r="G3" s="108" t="s">
        <v>161</v>
      </c>
      <c r="H3" s="108" t="s">
        <v>162</v>
      </c>
      <c r="I3" s="108" t="s">
        <v>163</v>
      </c>
      <c r="J3" s="108" t="s">
        <v>164</v>
      </c>
    </row>
    <row r="4" spans="1:10" ht="15.75">
      <c r="A4" s="108" t="s">
        <v>165</v>
      </c>
      <c r="B4" s="269">
        <v>124</v>
      </c>
      <c r="C4" s="269">
        <v>133</v>
      </c>
      <c r="D4" s="269">
        <v>130</v>
      </c>
      <c r="E4" s="269">
        <v>140</v>
      </c>
      <c r="F4" s="269">
        <v>145</v>
      </c>
      <c r="G4" s="269">
        <v>150</v>
      </c>
      <c r="H4" s="269">
        <v>170</v>
      </c>
      <c r="I4" s="269">
        <v>180</v>
      </c>
      <c r="J4" s="269">
        <v>190</v>
      </c>
    </row>
    <row r="5" spans="1:10" ht="15.75">
      <c r="A5" s="108" t="s">
        <v>166</v>
      </c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5.75">
      <c r="A6" s="108">
        <v>150</v>
      </c>
      <c r="B6" s="108">
        <v>106</v>
      </c>
      <c r="C6" s="108">
        <v>115</v>
      </c>
      <c r="D6" s="108">
        <v>112</v>
      </c>
      <c r="E6" s="108">
        <v>125</v>
      </c>
      <c r="F6" s="108">
        <v>129</v>
      </c>
      <c r="G6" s="108">
        <v>134</v>
      </c>
      <c r="H6" s="108">
        <v>155</v>
      </c>
      <c r="I6" s="108">
        <v>179</v>
      </c>
      <c r="J6" s="108">
        <v>181</v>
      </c>
    </row>
    <row r="7" spans="1:10" ht="15.75">
      <c r="A7" s="108">
        <v>200</v>
      </c>
      <c r="B7" s="108">
        <v>93</v>
      </c>
      <c r="C7" s="108">
        <v>111</v>
      </c>
      <c r="D7" s="108">
        <v>100</v>
      </c>
      <c r="E7" s="108">
        <v>117</v>
      </c>
      <c r="F7" s="108">
        <v>121</v>
      </c>
      <c r="G7" s="108">
        <v>125</v>
      </c>
      <c r="H7" s="108">
        <v>147</v>
      </c>
      <c r="I7" s="108">
        <v>175</v>
      </c>
      <c r="J7" s="108">
        <v>176</v>
      </c>
    </row>
    <row r="8" spans="1:10" ht="15.75">
      <c r="A8" s="108">
        <v>250</v>
      </c>
      <c r="B8" s="108">
        <v>80</v>
      </c>
      <c r="C8" s="108">
        <v>102</v>
      </c>
      <c r="D8" s="108">
        <v>86</v>
      </c>
      <c r="E8" s="108">
        <v>107</v>
      </c>
      <c r="F8" s="108">
        <v>111</v>
      </c>
      <c r="G8" s="108">
        <v>115</v>
      </c>
      <c r="H8" s="108">
        <v>140</v>
      </c>
      <c r="I8" s="108">
        <v>171</v>
      </c>
      <c r="J8" s="108">
        <v>172</v>
      </c>
    </row>
    <row r="9" spans="1:10" ht="15.75">
      <c r="A9" s="108">
        <v>275</v>
      </c>
      <c r="B9" s="108"/>
      <c r="C9" s="108"/>
      <c r="D9" s="108">
        <v>78</v>
      </c>
      <c r="E9" s="108">
        <v>102</v>
      </c>
      <c r="F9" s="108">
        <v>106</v>
      </c>
      <c r="G9" s="108">
        <v>109</v>
      </c>
      <c r="H9" s="108">
        <v>135</v>
      </c>
      <c r="I9" s="108">
        <v>170</v>
      </c>
      <c r="J9" s="108">
        <v>169</v>
      </c>
    </row>
    <row r="10" spans="1:10" ht="15.75">
      <c r="A10" s="108">
        <v>300</v>
      </c>
      <c r="B10" s="108"/>
      <c r="C10" s="108"/>
      <c r="D10" s="108">
        <v>70</v>
      </c>
      <c r="E10" s="108"/>
      <c r="F10" s="108">
        <v>98</v>
      </c>
      <c r="G10" s="108">
        <v>103</v>
      </c>
      <c r="H10" s="108">
        <v>130</v>
      </c>
      <c r="I10" s="108">
        <v>169</v>
      </c>
      <c r="J10" s="108">
        <v>167</v>
      </c>
    </row>
    <row r="11" spans="1:10" ht="15.75">
      <c r="A11" s="108">
        <v>320</v>
      </c>
      <c r="B11" s="108"/>
      <c r="C11" s="108"/>
      <c r="D11" s="108"/>
      <c r="E11" s="108"/>
      <c r="F11" s="108"/>
      <c r="G11" s="108"/>
      <c r="H11" s="108">
        <v>126</v>
      </c>
      <c r="I11" s="108">
        <v>164</v>
      </c>
      <c r="J11" s="108">
        <v>165</v>
      </c>
    </row>
    <row r="12" spans="1:10" ht="15.75">
      <c r="A12" s="108">
        <v>340</v>
      </c>
      <c r="B12" s="108"/>
      <c r="C12" s="108"/>
      <c r="D12" s="108"/>
      <c r="E12" s="108"/>
      <c r="F12" s="108"/>
      <c r="G12" s="108"/>
      <c r="H12" s="108">
        <v>122</v>
      </c>
      <c r="I12" s="108">
        <v>161</v>
      </c>
      <c r="J12" s="108">
        <v>163</v>
      </c>
    </row>
    <row r="13" spans="1:10" ht="15.75">
      <c r="A13" s="108">
        <v>350</v>
      </c>
      <c r="B13" s="108"/>
      <c r="C13" s="108"/>
      <c r="D13" s="108"/>
      <c r="E13" s="108"/>
      <c r="F13" s="108"/>
      <c r="G13" s="108"/>
      <c r="H13" s="108">
        <v>120</v>
      </c>
      <c r="I13" s="108">
        <v>159</v>
      </c>
      <c r="J13" s="108">
        <v>161</v>
      </c>
    </row>
    <row r="14" spans="1:10" ht="15.75">
      <c r="A14" s="108">
        <v>360</v>
      </c>
      <c r="B14" s="108"/>
      <c r="C14" s="108"/>
      <c r="D14" s="108"/>
      <c r="E14" s="108"/>
      <c r="F14" s="108"/>
      <c r="G14" s="108"/>
      <c r="H14" s="108"/>
      <c r="I14" s="108">
        <v>157</v>
      </c>
      <c r="J14" s="108">
        <v>159</v>
      </c>
    </row>
    <row r="15" spans="1:10" ht="15.75">
      <c r="A15" s="108">
        <v>370</v>
      </c>
      <c r="B15" s="108"/>
      <c r="C15" s="108"/>
      <c r="D15" s="108"/>
      <c r="E15" s="108"/>
      <c r="F15" s="108"/>
      <c r="G15" s="108"/>
      <c r="H15" s="108"/>
      <c r="I15" s="108">
        <v>155</v>
      </c>
      <c r="J15" s="108">
        <v>157</v>
      </c>
    </row>
    <row r="16" spans="1:10" ht="15.75">
      <c r="A16" s="108">
        <v>380</v>
      </c>
      <c r="B16" s="108"/>
      <c r="C16" s="108"/>
      <c r="D16" s="108"/>
      <c r="E16" s="108"/>
      <c r="F16" s="108"/>
      <c r="G16" s="108"/>
      <c r="H16" s="108"/>
      <c r="I16" s="108">
        <v>152</v>
      </c>
      <c r="J16" s="108">
        <v>154</v>
      </c>
    </row>
    <row r="18" spans="1:14" ht="15.75">
      <c r="A18" s="261" t="s">
        <v>335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</row>
    <row r="19" spans="1:24" ht="15.75">
      <c r="A19" s="255" t="s">
        <v>341</v>
      </c>
      <c r="B19" s="257" t="s">
        <v>154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38"/>
      <c r="W19" s="38"/>
      <c r="X19" s="38"/>
    </row>
    <row r="20" spans="1:24" ht="15.75">
      <c r="A20" s="259"/>
      <c r="B20" s="262" t="s">
        <v>167</v>
      </c>
      <c r="C20" s="263"/>
      <c r="D20" s="263"/>
      <c r="E20" s="264"/>
      <c r="F20" s="262" t="s">
        <v>168</v>
      </c>
      <c r="G20" s="265"/>
      <c r="H20" s="264"/>
      <c r="I20" s="262" t="s">
        <v>169</v>
      </c>
      <c r="J20" s="263"/>
      <c r="K20" s="265"/>
      <c r="L20" s="264"/>
      <c r="M20" s="262" t="s">
        <v>171</v>
      </c>
      <c r="N20" s="265"/>
      <c r="O20" s="271"/>
      <c r="P20" s="262" t="s">
        <v>172</v>
      </c>
      <c r="Q20" s="263"/>
      <c r="R20" s="271"/>
      <c r="S20" s="269" t="s">
        <v>173</v>
      </c>
      <c r="T20" s="269"/>
      <c r="U20" s="270"/>
      <c r="V20" s="45"/>
      <c r="W20" s="45"/>
      <c r="X20" s="45"/>
    </row>
    <row r="21" spans="1:24" ht="15.75">
      <c r="A21" s="259"/>
      <c r="B21" s="269" t="s">
        <v>157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70"/>
      <c r="P21" s="270"/>
      <c r="Q21" s="270"/>
      <c r="R21" s="270"/>
      <c r="S21" s="270"/>
      <c r="T21" s="270"/>
      <c r="U21" s="270"/>
      <c r="V21" s="45"/>
      <c r="W21" s="45"/>
      <c r="X21" s="45"/>
    </row>
    <row r="22" spans="1:21" ht="18.75">
      <c r="A22" s="260"/>
      <c r="B22" s="108" t="s">
        <v>337</v>
      </c>
      <c r="C22" s="108" t="s">
        <v>338</v>
      </c>
      <c r="D22" s="108" t="s">
        <v>339</v>
      </c>
      <c r="E22" s="108" t="s">
        <v>340</v>
      </c>
      <c r="F22" s="108" t="s">
        <v>337</v>
      </c>
      <c r="G22" s="108" t="s">
        <v>338</v>
      </c>
      <c r="H22" s="108" t="s">
        <v>339</v>
      </c>
      <c r="I22" s="108" t="s">
        <v>337</v>
      </c>
      <c r="J22" s="108" t="s">
        <v>338</v>
      </c>
      <c r="K22" s="108" t="s">
        <v>339</v>
      </c>
      <c r="L22" s="107" t="s">
        <v>340</v>
      </c>
      <c r="M22" s="108" t="s">
        <v>337</v>
      </c>
      <c r="N22" s="108" t="s">
        <v>338</v>
      </c>
      <c r="O22" s="108" t="s">
        <v>339</v>
      </c>
      <c r="P22" s="108" t="s">
        <v>337</v>
      </c>
      <c r="Q22" s="108" t="s">
        <v>338</v>
      </c>
      <c r="R22" s="108" t="s">
        <v>339</v>
      </c>
      <c r="S22" s="108" t="s">
        <v>337</v>
      </c>
      <c r="T22" s="108" t="s">
        <v>338</v>
      </c>
      <c r="U22" s="108" t="s">
        <v>339</v>
      </c>
    </row>
    <row r="23" spans="1:21" ht="15.75">
      <c r="A23" s="108" t="s">
        <v>165</v>
      </c>
      <c r="B23" s="266">
        <v>130</v>
      </c>
      <c r="C23" s="266">
        <v>130</v>
      </c>
      <c r="D23" s="266">
        <v>130</v>
      </c>
      <c r="E23" s="266">
        <v>130</v>
      </c>
      <c r="F23" s="266">
        <v>140</v>
      </c>
      <c r="G23" s="266">
        <v>140</v>
      </c>
      <c r="H23" s="266">
        <v>140</v>
      </c>
      <c r="I23" s="266">
        <v>147</v>
      </c>
      <c r="J23" s="266">
        <v>147</v>
      </c>
      <c r="K23" s="266">
        <v>147</v>
      </c>
      <c r="L23" s="266">
        <v>147</v>
      </c>
      <c r="M23" s="266">
        <v>170</v>
      </c>
      <c r="N23" s="266">
        <v>170</v>
      </c>
      <c r="O23" s="266">
        <v>170</v>
      </c>
      <c r="P23" s="266">
        <v>177</v>
      </c>
      <c r="Q23" s="266">
        <v>177</v>
      </c>
      <c r="R23" s="266">
        <v>177</v>
      </c>
      <c r="S23" s="266">
        <v>185</v>
      </c>
      <c r="T23" s="266">
        <v>185</v>
      </c>
      <c r="U23" s="266">
        <v>185</v>
      </c>
    </row>
    <row r="24" spans="1:21" ht="15.75">
      <c r="A24" s="108" t="s">
        <v>170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 ht="15.75">
      <c r="A25" s="108">
        <v>200</v>
      </c>
      <c r="B25" s="108">
        <v>120</v>
      </c>
      <c r="C25" s="108">
        <v>120</v>
      </c>
      <c r="D25" s="108">
        <v>120</v>
      </c>
      <c r="E25" s="108">
        <v>120</v>
      </c>
      <c r="F25" s="108">
        <v>130</v>
      </c>
      <c r="G25" s="108">
        <v>130</v>
      </c>
      <c r="H25" s="108">
        <v>130</v>
      </c>
      <c r="I25" s="108">
        <v>140</v>
      </c>
      <c r="J25" s="108">
        <v>140</v>
      </c>
      <c r="K25" s="108">
        <v>140</v>
      </c>
      <c r="L25" s="108">
        <v>140</v>
      </c>
      <c r="M25" s="108">
        <v>150</v>
      </c>
      <c r="N25" s="108">
        <v>150</v>
      </c>
      <c r="O25" s="108">
        <v>150</v>
      </c>
      <c r="P25" s="108">
        <v>165</v>
      </c>
      <c r="Q25" s="108">
        <v>165</v>
      </c>
      <c r="R25" s="108">
        <v>165</v>
      </c>
      <c r="S25" s="108">
        <v>169</v>
      </c>
      <c r="T25" s="108">
        <v>169</v>
      </c>
      <c r="U25" s="108">
        <v>169</v>
      </c>
    </row>
    <row r="26" spans="1:21" ht="15.75">
      <c r="A26" s="108">
        <v>250</v>
      </c>
      <c r="B26" s="108">
        <v>108</v>
      </c>
      <c r="C26" s="108">
        <v>108</v>
      </c>
      <c r="D26" s="108">
        <v>108</v>
      </c>
      <c r="E26" s="108">
        <v>108</v>
      </c>
      <c r="F26" s="108">
        <v>120</v>
      </c>
      <c r="G26" s="108">
        <v>120</v>
      </c>
      <c r="H26" s="108">
        <v>120</v>
      </c>
      <c r="I26" s="108">
        <v>132</v>
      </c>
      <c r="J26" s="108">
        <v>132</v>
      </c>
      <c r="K26" s="108">
        <v>132</v>
      </c>
      <c r="L26" s="108">
        <v>132</v>
      </c>
      <c r="M26" s="108">
        <v>145</v>
      </c>
      <c r="N26" s="108">
        <v>145</v>
      </c>
      <c r="O26" s="108">
        <v>145</v>
      </c>
      <c r="P26" s="108">
        <v>156</v>
      </c>
      <c r="Q26" s="108">
        <v>156</v>
      </c>
      <c r="R26" s="108">
        <v>156</v>
      </c>
      <c r="S26" s="108">
        <v>165</v>
      </c>
      <c r="T26" s="108">
        <v>165</v>
      </c>
      <c r="U26" s="108">
        <v>165</v>
      </c>
    </row>
    <row r="27" spans="1:21" ht="15.75">
      <c r="A27" s="108">
        <v>275</v>
      </c>
      <c r="B27" s="108">
        <v>102</v>
      </c>
      <c r="C27" s="108">
        <v>102</v>
      </c>
      <c r="D27" s="108">
        <v>102</v>
      </c>
      <c r="E27" s="108">
        <v>102</v>
      </c>
      <c r="F27" s="108">
        <v>113</v>
      </c>
      <c r="G27" s="108">
        <v>113</v>
      </c>
      <c r="H27" s="108">
        <v>113</v>
      </c>
      <c r="I27" s="108">
        <v>126</v>
      </c>
      <c r="J27" s="108">
        <v>126</v>
      </c>
      <c r="K27" s="108">
        <v>126</v>
      </c>
      <c r="L27" s="108">
        <v>126</v>
      </c>
      <c r="M27" s="108">
        <v>140</v>
      </c>
      <c r="N27" s="108">
        <v>140</v>
      </c>
      <c r="O27" s="108">
        <v>140</v>
      </c>
      <c r="P27" s="108">
        <v>150</v>
      </c>
      <c r="Q27" s="108">
        <v>150</v>
      </c>
      <c r="R27" s="108">
        <v>150</v>
      </c>
      <c r="S27" s="108">
        <v>161</v>
      </c>
      <c r="T27" s="108">
        <v>161</v>
      </c>
      <c r="U27" s="108">
        <v>161</v>
      </c>
    </row>
    <row r="28" spans="1:21" ht="15.75">
      <c r="A28" s="108">
        <v>300</v>
      </c>
      <c r="B28" s="108">
        <v>96</v>
      </c>
      <c r="C28" s="108">
        <v>96</v>
      </c>
      <c r="D28" s="108">
        <v>96</v>
      </c>
      <c r="E28" s="108">
        <v>96</v>
      </c>
      <c r="F28" s="108">
        <v>106</v>
      </c>
      <c r="G28" s="108">
        <v>106</v>
      </c>
      <c r="H28" s="108">
        <v>106</v>
      </c>
      <c r="I28" s="108">
        <v>119</v>
      </c>
      <c r="J28" s="108">
        <v>119</v>
      </c>
      <c r="K28" s="108">
        <v>119</v>
      </c>
      <c r="L28" s="108">
        <v>119</v>
      </c>
      <c r="M28" s="108">
        <v>133</v>
      </c>
      <c r="N28" s="108">
        <v>133</v>
      </c>
      <c r="O28" s="108">
        <v>133</v>
      </c>
      <c r="P28" s="108">
        <v>144</v>
      </c>
      <c r="Q28" s="108">
        <v>144</v>
      </c>
      <c r="R28" s="108">
        <v>144</v>
      </c>
      <c r="S28" s="108">
        <v>153</v>
      </c>
      <c r="T28" s="108">
        <v>153</v>
      </c>
      <c r="U28" s="108">
        <v>153</v>
      </c>
    </row>
    <row r="29" spans="1:21" ht="15.75">
      <c r="A29" s="108">
        <v>320</v>
      </c>
      <c r="B29" s="108">
        <v>92</v>
      </c>
      <c r="C29" s="108">
        <v>92</v>
      </c>
      <c r="D29" s="108">
        <v>92</v>
      </c>
      <c r="E29" s="108">
        <v>92</v>
      </c>
      <c r="F29" s="108">
        <v>101</v>
      </c>
      <c r="G29" s="108">
        <v>101</v>
      </c>
      <c r="H29" s="108">
        <v>101</v>
      </c>
      <c r="I29" s="108">
        <v>114</v>
      </c>
      <c r="J29" s="108">
        <v>114</v>
      </c>
      <c r="K29" s="108">
        <v>114</v>
      </c>
      <c r="L29" s="108">
        <v>114</v>
      </c>
      <c r="M29" s="108">
        <v>127</v>
      </c>
      <c r="N29" s="108">
        <v>127</v>
      </c>
      <c r="O29" s="108">
        <v>127</v>
      </c>
      <c r="P29" s="108">
        <v>139</v>
      </c>
      <c r="Q29" s="108">
        <v>139</v>
      </c>
      <c r="R29" s="108">
        <v>139</v>
      </c>
      <c r="S29" s="108">
        <v>145</v>
      </c>
      <c r="T29" s="108">
        <v>145</v>
      </c>
      <c r="U29" s="108">
        <v>145</v>
      </c>
    </row>
    <row r="30" spans="1:21" ht="15.75">
      <c r="A30" s="108">
        <v>340</v>
      </c>
      <c r="B30" s="108">
        <v>87</v>
      </c>
      <c r="C30" s="108">
        <v>87</v>
      </c>
      <c r="D30" s="108">
        <v>87</v>
      </c>
      <c r="E30" s="108">
        <v>87</v>
      </c>
      <c r="F30" s="108">
        <v>96</v>
      </c>
      <c r="G30" s="108">
        <v>96</v>
      </c>
      <c r="H30" s="108">
        <v>96</v>
      </c>
      <c r="I30" s="108">
        <v>109</v>
      </c>
      <c r="J30" s="108">
        <v>109</v>
      </c>
      <c r="K30" s="108">
        <v>109</v>
      </c>
      <c r="L30" s="108">
        <v>109</v>
      </c>
      <c r="M30" s="108">
        <v>122</v>
      </c>
      <c r="N30" s="108">
        <v>122</v>
      </c>
      <c r="O30" s="108">
        <v>122</v>
      </c>
      <c r="P30" s="108">
        <v>133</v>
      </c>
      <c r="Q30" s="108">
        <v>133</v>
      </c>
      <c r="R30" s="108">
        <v>133</v>
      </c>
      <c r="S30" s="108">
        <v>137</v>
      </c>
      <c r="T30" s="108">
        <v>137</v>
      </c>
      <c r="U30" s="108">
        <v>137</v>
      </c>
    </row>
    <row r="31" spans="1:21" ht="15.75">
      <c r="A31" s="108">
        <v>350</v>
      </c>
      <c r="B31" s="108">
        <v>85</v>
      </c>
      <c r="C31" s="108">
        <v>85</v>
      </c>
      <c r="D31" s="108">
        <v>85</v>
      </c>
      <c r="E31" s="108">
        <v>85</v>
      </c>
      <c r="F31" s="108">
        <v>93</v>
      </c>
      <c r="G31" s="108">
        <v>93</v>
      </c>
      <c r="H31" s="108">
        <v>93</v>
      </c>
      <c r="I31" s="108">
        <v>106</v>
      </c>
      <c r="J31" s="108">
        <v>106</v>
      </c>
      <c r="K31" s="108">
        <v>106</v>
      </c>
      <c r="L31" s="108">
        <v>106</v>
      </c>
      <c r="M31" s="108">
        <v>120</v>
      </c>
      <c r="N31" s="108">
        <v>120</v>
      </c>
      <c r="O31" s="108">
        <v>120</v>
      </c>
      <c r="P31" s="108">
        <v>131</v>
      </c>
      <c r="Q31" s="108">
        <v>131</v>
      </c>
      <c r="R31" s="108">
        <v>131</v>
      </c>
      <c r="S31" s="108">
        <v>133</v>
      </c>
      <c r="T31" s="108">
        <v>133</v>
      </c>
      <c r="U31" s="108">
        <v>133</v>
      </c>
    </row>
    <row r="32" spans="1:21" ht="15.75">
      <c r="A32" s="108">
        <v>360</v>
      </c>
      <c r="B32" s="108">
        <v>82</v>
      </c>
      <c r="C32" s="108">
        <v>82</v>
      </c>
      <c r="D32" s="108">
        <v>82</v>
      </c>
      <c r="E32" s="108">
        <v>82</v>
      </c>
      <c r="F32" s="108">
        <v>90</v>
      </c>
      <c r="G32" s="108">
        <v>90</v>
      </c>
      <c r="H32" s="108">
        <v>90</v>
      </c>
      <c r="I32" s="108">
        <v>103</v>
      </c>
      <c r="J32" s="108">
        <v>103</v>
      </c>
      <c r="K32" s="108">
        <v>103</v>
      </c>
      <c r="L32" s="108">
        <v>103</v>
      </c>
      <c r="M32" s="108">
        <v>117</v>
      </c>
      <c r="N32" s="108">
        <v>117</v>
      </c>
      <c r="O32" s="108">
        <v>117</v>
      </c>
      <c r="P32" s="108">
        <v>127</v>
      </c>
      <c r="Q32" s="108">
        <v>127</v>
      </c>
      <c r="R32" s="108">
        <v>127</v>
      </c>
      <c r="S32" s="108">
        <v>129</v>
      </c>
      <c r="T32" s="108">
        <v>129</v>
      </c>
      <c r="U32" s="108">
        <v>129</v>
      </c>
    </row>
    <row r="33" spans="1:21" ht="15.75">
      <c r="A33" s="108">
        <v>380</v>
      </c>
      <c r="B33" s="108">
        <v>76</v>
      </c>
      <c r="C33" s="108">
        <v>76</v>
      </c>
      <c r="D33" s="108">
        <v>76</v>
      </c>
      <c r="E33" s="108">
        <v>71</v>
      </c>
      <c r="F33" s="108">
        <v>85</v>
      </c>
      <c r="G33" s="108">
        <v>85</v>
      </c>
      <c r="H33" s="108">
        <v>85</v>
      </c>
      <c r="I33" s="108">
        <v>97</v>
      </c>
      <c r="J33" s="108">
        <v>97</v>
      </c>
      <c r="K33" s="108">
        <v>97</v>
      </c>
      <c r="L33" s="107">
        <v>88</v>
      </c>
      <c r="M33" s="108">
        <v>112</v>
      </c>
      <c r="N33" s="108">
        <v>112</v>
      </c>
      <c r="O33" s="108">
        <v>112</v>
      </c>
      <c r="P33" s="108">
        <v>121</v>
      </c>
      <c r="Q33" s="108">
        <v>121</v>
      </c>
      <c r="R33" s="108">
        <v>121</v>
      </c>
      <c r="S33" s="108">
        <v>121</v>
      </c>
      <c r="T33" s="108">
        <v>121</v>
      </c>
      <c r="U33" s="108">
        <v>121</v>
      </c>
    </row>
    <row r="34" spans="1:21" ht="15.75">
      <c r="A34" s="108">
        <v>400</v>
      </c>
      <c r="B34" s="108">
        <v>73</v>
      </c>
      <c r="C34" s="108">
        <v>73</v>
      </c>
      <c r="D34" s="108">
        <v>66</v>
      </c>
      <c r="E34" s="108">
        <v>60</v>
      </c>
      <c r="F34" s="108">
        <v>80</v>
      </c>
      <c r="G34" s="108">
        <v>80</v>
      </c>
      <c r="H34" s="108">
        <v>72</v>
      </c>
      <c r="I34" s="108">
        <v>92</v>
      </c>
      <c r="J34" s="108">
        <v>92</v>
      </c>
      <c r="K34" s="108">
        <v>78</v>
      </c>
      <c r="L34" s="107">
        <v>71</v>
      </c>
      <c r="M34" s="108">
        <v>107</v>
      </c>
      <c r="N34" s="108">
        <v>107</v>
      </c>
      <c r="O34" s="108">
        <v>95</v>
      </c>
      <c r="P34" s="108">
        <v>113</v>
      </c>
      <c r="Q34" s="108">
        <v>113</v>
      </c>
      <c r="R34" s="108">
        <v>96</v>
      </c>
      <c r="S34" s="108">
        <v>113</v>
      </c>
      <c r="T34" s="108">
        <v>113</v>
      </c>
      <c r="U34" s="108">
        <v>96</v>
      </c>
    </row>
    <row r="35" spans="1:21" ht="15.75">
      <c r="A35" s="108">
        <v>410</v>
      </c>
      <c r="B35" s="108">
        <v>70</v>
      </c>
      <c r="C35" s="108">
        <v>68</v>
      </c>
      <c r="D35" s="108">
        <v>61</v>
      </c>
      <c r="E35" s="108">
        <v>55</v>
      </c>
      <c r="F35" s="108">
        <v>77</v>
      </c>
      <c r="G35" s="108">
        <v>72</v>
      </c>
      <c r="H35" s="108">
        <v>65</v>
      </c>
      <c r="I35" s="108">
        <v>89</v>
      </c>
      <c r="J35" s="108">
        <v>86</v>
      </c>
      <c r="K35" s="108">
        <v>70</v>
      </c>
      <c r="L35" s="107">
        <v>63</v>
      </c>
      <c r="M35" s="108">
        <v>104</v>
      </c>
      <c r="N35" s="108">
        <v>97</v>
      </c>
      <c r="O35" s="108">
        <v>83</v>
      </c>
      <c r="P35" s="108">
        <v>107</v>
      </c>
      <c r="Q35" s="108">
        <v>102</v>
      </c>
      <c r="R35" s="108">
        <v>85</v>
      </c>
      <c r="S35" s="108">
        <v>107</v>
      </c>
      <c r="T35" s="108">
        <v>102</v>
      </c>
      <c r="U35" s="108">
        <v>85</v>
      </c>
    </row>
    <row r="36" spans="1:21" ht="15.75">
      <c r="A36" s="108">
        <v>420</v>
      </c>
      <c r="B36" s="108">
        <v>68</v>
      </c>
      <c r="C36" s="108">
        <v>62</v>
      </c>
      <c r="D36" s="108">
        <v>57</v>
      </c>
      <c r="E36" s="108">
        <v>50</v>
      </c>
      <c r="F36" s="108">
        <v>74</v>
      </c>
      <c r="G36" s="108">
        <v>66</v>
      </c>
      <c r="H36" s="108">
        <v>58</v>
      </c>
      <c r="I36" s="108">
        <v>86</v>
      </c>
      <c r="J36" s="108">
        <v>79</v>
      </c>
      <c r="K36" s="108">
        <v>63</v>
      </c>
      <c r="L36" s="107">
        <v>56</v>
      </c>
      <c r="M36" s="108">
        <v>102</v>
      </c>
      <c r="N36" s="108">
        <v>87</v>
      </c>
      <c r="O36" s="108">
        <v>73</v>
      </c>
      <c r="P36" s="108">
        <v>102</v>
      </c>
      <c r="Q36" s="108">
        <v>90</v>
      </c>
      <c r="R36" s="108">
        <v>75</v>
      </c>
      <c r="S36" s="108">
        <v>102</v>
      </c>
      <c r="T36" s="108">
        <v>90</v>
      </c>
      <c r="U36" s="108">
        <v>75</v>
      </c>
    </row>
    <row r="37" spans="1:21" ht="15.75">
      <c r="A37" s="108">
        <v>430</v>
      </c>
      <c r="B37" s="108">
        <v>66</v>
      </c>
      <c r="C37" s="108">
        <v>57</v>
      </c>
      <c r="D37" s="108">
        <v>51</v>
      </c>
      <c r="E37" s="108">
        <v>45</v>
      </c>
      <c r="F37" s="108">
        <v>71</v>
      </c>
      <c r="G37" s="108">
        <v>60</v>
      </c>
      <c r="H37" s="108">
        <v>52</v>
      </c>
      <c r="I37" s="108">
        <v>83</v>
      </c>
      <c r="J37" s="108">
        <v>72</v>
      </c>
      <c r="K37" s="108">
        <v>57</v>
      </c>
      <c r="L37" s="107">
        <v>50</v>
      </c>
      <c r="M37" s="108">
        <v>98</v>
      </c>
      <c r="N37" s="108">
        <v>76</v>
      </c>
      <c r="O37" s="108">
        <v>63</v>
      </c>
      <c r="P37" s="108">
        <v>97</v>
      </c>
      <c r="Q37" s="108">
        <v>78</v>
      </c>
      <c r="R37" s="108">
        <v>65</v>
      </c>
      <c r="S37" s="108">
        <v>97</v>
      </c>
      <c r="T37" s="108">
        <v>78</v>
      </c>
      <c r="U37" s="108">
        <v>65</v>
      </c>
    </row>
    <row r="38" spans="1:21" ht="15.75">
      <c r="A38" s="108">
        <v>440</v>
      </c>
      <c r="B38" s="108">
        <v>63</v>
      </c>
      <c r="C38" s="108">
        <v>51</v>
      </c>
      <c r="D38" s="108">
        <v>45</v>
      </c>
      <c r="E38" s="108">
        <v>40</v>
      </c>
      <c r="F38" s="108">
        <v>68</v>
      </c>
      <c r="G38" s="108">
        <v>53</v>
      </c>
      <c r="H38" s="108">
        <v>45</v>
      </c>
      <c r="I38" s="108">
        <v>80</v>
      </c>
      <c r="J38" s="108">
        <v>66</v>
      </c>
      <c r="K38" s="108">
        <v>50</v>
      </c>
      <c r="L38" s="107">
        <v>44</v>
      </c>
      <c r="M38" s="108">
        <v>95</v>
      </c>
      <c r="N38" s="108">
        <v>68</v>
      </c>
      <c r="O38" s="108">
        <v>55</v>
      </c>
      <c r="P38" s="108">
        <v>92</v>
      </c>
      <c r="Q38" s="108">
        <v>70</v>
      </c>
      <c r="R38" s="108">
        <v>55</v>
      </c>
      <c r="S38" s="108">
        <v>92</v>
      </c>
      <c r="T38" s="108">
        <v>70</v>
      </c>
      <c r="U38" s="108">
        <v>55</v>
      </c>
    </row>
    <row r="39" spans="1:21" ht="15.75">
      <c r="A39" s="108">
        <v>450</v>
      </c>
      <c r="B39" s="108">
        <v>61</v>
      </c>
      <c r="C39" s="108">
        <v>46</v>
      </c>
      <c r="D39" s="108">
        <v>38</v>
      </c>
      <c r="E39" s="108">
        <v>35</v>
      </c>
      <c r="F39" s="108">
        <v>65</v>
      </c>
      <c r="G39" s="108">
        <v>47</v>
      </c>
      <c r="H39" s="108">
        <v>38</v>
      </c>
      <c r="I39" s="108">
        <v>77</v>
      </c>
      <c r="J39" s="108">
        <v>59</v>
      </c>
      <c r="K39" s="108">
        <v>46</v>
      </c>
      <c r="L39" s="107">
        <v>39</v>
      </c>
      <c r="M39" s="108">
        <v>89</v>
      </c>
      <c r="N39" s="108">
        <v>62</v>
      </c>
      <c r="O39" s="108">
        <v>46</v>
      </c>
      <c r="P39" s="108">
        <v>88</v>
      </c>
      <c r="Q39" s="108">
        <v>63</v>
      </c>
      <c r="R39" s="108">
        <v>46</v>
      </c>
      <c r="S39" s="108">
        <v>88</v>
      </c>
      <c r="T39" s="108">
        <v>63</v>
      </c>
      <c r="U39" s="108">
        <v>46</v>
      </c>
    </row>
    <row r="40" spans="1:21" ht="15.75">
      <c r="A40" s="108">
        <v>460</v>
      </c>
      <c r="B40" s="109">
        <v>58</v>
      </c>
      <c r="C40" s="108">
        <v>40</v>
      </c>
      <c r="D40" s="108">
        <v>33</v>
      </c>
      <c r="E40" s="108">
        <v>29</v>
      </c>
      <c r="F40" s="108">
        <v>62</v>
      </c>
      <c r="G40" s="108">
        <v>40</v>
      </c>
      <c r="H40" s="108">
        <v>33</v>
      </c>
      <c r="I40" s="108">
        <v>74</v>
      </c>
      <c r="J40" s="108">
        <v>52</v>
      </c>
      <c r="K40" s="108">
        <v>38</v>
      </c>
      <c r="L40" s="107">
        <v>34</v>
      </c>
      <c r="M40" s="109">
        <v>83</v>
      </c>
      <c r="N40" s="108">
        <v>54</v>
      </c>
      <c r="O40" s="108">
        <v>38</v>
      </c>
      <c r="P40" s="109">
        <v>82</v>
      </c>
      <c r="Q40" s="108">
        <v>54</v>
      </c>
      <c r="R40" s="108">
        <v>38</v>
      </c>
      <c r="S40" s="109">
        <v>82</v>
      </c>
      <c r="T40" s="108">
        <v>54</v>
      </c>
      <c r="U40" s="108">
        <v>38</v>
      </c>
    </row>
    <row r="41" spans="1:21" ht="15.75">
      <c r="A41" s="108">
        <v>470</v>
      </c>
      <c r="B41" s="108">
        <v>52</v>
      </c>
      <c r="C41" s="108">
        <v>34</v>
      </c>
      <c r="D41" s="108">
        <v>28</v>
      </c>
      <c r="E41" s="108">
        <v>24</v>
      </c>
      <c r="F41" s="108">
        <v>54</v>
      </c>
      <c r="G41" s="108">
        <v>34</v>
      </c>
      <c r="H41" s="108">
        <v>28</v>
      </c>
      <c r="I41" s="108">
        <v>64</v>
      </c>
      <c r="J41" s="108">
        <v>46</v>
      </c>
      <c r="K41" s="108">
        <v>32</v>
      </c>
      <c r="L41" s="107">
        <v>28</v>
      </c>
      <c r="M41" s="108">
        <v>71</v>
      </c>
      <c r="N41" s="108">
        <v>46</v>
      </c>
      <c r="O41" s="108">
        <v>32</v>
      </c>
      <c r="P41" s="108">
        <v>71</v>
      </c>
      <c r="Q41" s="108">
        <v>46</v>
      </c>
      <c r="R41" s="108">
        <v>32</v>
      </c>
      <c r="S41" s="108">
        <v>71</v>
      </c>
      <c r="T41" s="108">
        <v>46</v>
      </c>
      <c r="U41" s="108">
        <v>32</v>
      </c>
    </row>
    <row r="42" spans="1:21" ht="15.75">
      <c r="A42" s="108">
        <v>480</v>
      </c>
      <c r="B42" s="108">
        <v>45</v>
      </c>
      <c r="C42" s="108">
        <v>28</v>
      </c>
      <c r="D42" s="108">
        <v>22</v>
      </c>
      <c r="E42" s="108">
        <v>18</v>
      </c>
      <c r="F42" s="108">
        <v>46</v>
      </c>
      <c r="G42" s="108">
        <v>28</v>
      </c>
      <c r="H42" s="108">
        <v>22</v>
      </c>
      <c r="I42" s="108">
        <v>56</v>
      </c>
      <c r="J42" s="108">
        <v>39</v>
      </c>
      <c r="K42" s="108">
        <v>27</v>
      </c>
      <c r="L42" s="107">
        <v>24</v>
      </c>
      <c r="M42" s="108">
        <v>60</v>
      </c>
      <c r="N42" s="108"/>
      <c r="O42" s="108"/>
      <c r="P42" s="108">
        <v>60</v>
      </c>
      <c r="Q42" s="108"/>
      <c r="R42" s="108"/>
      <c r="S42" s="108">
        <v>60</v>
      </c>
      <c r="T42" s="108"/>
      <c r="U42" s="108"/>
    </row>
    <row r="43" spans="1:21" ht="15.75">
      <c r="A43" s="108">
        <v>490</v>
      </c>
      <c r="B43" s="108">
        <v>39</v>
      </c>
      <c r="C43" s="108">
        <v>24</v>
      </c>
      <c r="D43" s="108"/>
      <c r="E43" s="108"/>
      <c r="F43" s="108">
        <v>40</v>
      </c>
      <c r="G43" s="108">
        <v>24</v>
      </c>
      <c r="H43" s="108"/>
      <c r="I43" s="108">
        <v>49</v>
      </c>
      <c r="J43" s="108">
        <v>33</v>
      </c>
      <c r="K43" s="108"/>
      <c r="L43" s="107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5.75">
      <c r="A44" s="108">
        <v>500</v>
      </c>
      <c r="B44" s="108">
        <v>33</v>
      </c>
      <c r="C44" s="108">
        <v>20</v>
      </c>
      <c r="D44" s="108"/>
      <c r="E44" s="108"/>
      <c r="F44" s="108">
        <v>34</v>
      </c>
      <c r="G44" s="108">
        <v>20</v>
      </c>
      <c r="H44" s="108"/>
      <c r="I44" s="108">
        <v>41</v>
      </c>
      <c r="J44" s="108">
        <v>26</v>
      </c>
      <c r="K44" s="108"/>
      <c r="L44" s="108"/>
      <c r="M44" s="110"/>
      <c r="N44" s="110"/>
      <c r="O44" s="110"/>
      <c r="P44" s="110"/>
      <c r="Q44" s="110"/>
      <c r="R44" s="110"/>
      <c r="S44" s="110"/>
      <c r="T44" s="110"/>
      <c r="U44" s="110"/>
    </row>
    <row r="46" spans="1:21" ht="15.75">
      <c r="A46" s="261" t="s">
        <v>177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38"/>
    </row>
    <row r="47" spans="1:21" ht="15.75">
      <c r="A47" s="255" t="s">
        <v>336</v>
      </c>
      <c r="B47" s="269" t="s">
        <v>154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38"/>
    </row>
    <row r="48" spans="1:21" ht="15.75">
      <c r="A48" s="259"/>
      <c r="B48" s="269" t="s">
        <v>174</v>
      </c>
      <c r="C48" s="269"/>
      <c r="D48" s="269"/>
      <c r="E48" s="269"/>
      <c r="F48" s="269" t="s">
        <v>175</v>
      </c>
      <c r="G48" s="269"/>
      <c r="H48" s="269"/>
      <c r="I48" s="269"/>
      <c r="J48" s="269" t="s">
        <v>178</v>
      </c>
      <c r="K48" s="269"/>
      <c r="L48" s="269"/>
      <c r="M48" s="269"/>
      <c r="N48" s="269" t="s">
        <v>179</v>
      </c>
      <c r="O48" s="269"/>
      <c r="P48" s="269"/>
      <c r="Q48" s="269" t="s">
        <v>180</v>
      </c>
      <c r="R48" s="269"/>
      <c r="S48" s="269"/>
      <c r="T48" s="269"/>
      <c r="U48" s="16"/>
    </row>
    <row r="49" spans="1:21" ht="15.75">
      <c r="A49" s="259"/>
      <c r="B49" s="269" t="s">
        <v>157</v>
      </c>
      <c r="C49" s="269"/>
      <c r="D49" s="269"/>
      <c r="E49" s="269"/>
      <c r="F49" s="269"/>
      <c r="G49" s="269"/>
      <c r="H49" s="269"/>
      <c r="I49" s="269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45"/>
    </row>
    <row r="50" spans="1:21" ht="18.75">
      <c r="A50" s="256"/>
      <c r="B50" s="108" t="s">
        <v>337</v>
      </c>
      <c r="C50" s="108" t="s">
        <v>338</v>
      </c>
      <c r="D50" s="108" t="s">
        <v>339</v>
      </c>
      <c r="E50" s="108" t="s">
        <v>340</v>
      </c>
      <c r="F50" s="108" t="s">
        <v>337</v>
      </c>
      <c r="G50" s="108" t="s">
        <v>338</v>
      </c>
      <c r="H50" s="108" t="s">
        <v>339</v>
      </c>
      <c r="I50" s="108" t="s">
        <v>340</v>
      </c>
      <c r="J50" s="108" t="s">
        <v>337</v>
      </c>
      <c r="K50" s="108" t="s">
        <v>338</v>
      </c>
      <c r="L50" s="108" t="s">
        <v>339</v>
      </c>
      <c r="M50" s="108" t="s">
        <v>340</v>
      </c>
      <c r="N50" s="108" t="s">
        <v>337</v>
      </c>
      <c r="O50" s="108" t="s">
        <v>338</v>
      </c>
      <c r="P50" s="108" t="s">
        <v>339</v>
      </c>
      <c r="Q50" s="108" t="s">
        <v>337</v>
      </c>
      <c r="R50" s="108" t="s">
        <v>338</v>
      </c>
      <c r="S50" s="108" t="s">
        <v>339</v>
      </c>
      <c r="T50" s="108" t="s">
        <v>340</v>
      </c>
      <c r="U50" s="16"/>
    </row>
    <row r="51" spans="1:21" ht="15.75">
      <c r="A51" s="108" t="s">
        <v>165</v>
      </c>
      <c r="B51" s="267">
        <v>147</v>
      </c>
      <c r="C51" s="267">
        <v>147</v>
      </c>
      <c r="D51" s="267">
        <v>147</v>
      </c>
      <c r="E51" s="267">
        <v>147</v>
      </c>
      <c r="F51" s="267">
        <v>153</v>
      </c>
      <c r="G51" s="267">
        <v>153</v>
      </c>
      <c r="H51" s="267">
        <v>153</v>
      </c>
      <c r="I51" s="267">
        <v>153</v>
      </c>
      <c r="J51" s="267">
        <v>173</v>
      </c>
      <c r="K51" s="267">
        <v>173</v>
      </c>
      <c r="L51" s="267">
        <v>173</v>
      </c>
      <c r="M51" s="267">
        <v>173</v>
      </c>
      <c r="N51" s="267">
        <v>167</v>
      </c>
      <c r="O51" s="267">
        <v>167</v>
      </c>
      <c r="P51" s="267">
        <v>167</v>
      </c>
      <c r="Q51" s="267">
        <v>192</v>
      </c>
      <c r="R51" s="267">
        <v>192</v>
      </c>
      <c r="S51" s="267">
        <v>192</v>
      </c>
      <c r="T51" s="267">
        <v>192</v>
      </c>
      <c r="U51" s="16"/>
    </row>
    <row r="52" spans="1:21" ht="16.5" customHeight="1">
      <c r="A52" s="108" t="s">
        <v>176</v>
      </c>
      <c r="B52" s="268"/>
      <c r="C52" s="268"/>
      <c r="D52" s="268"/>
      <c r="E52" s="268"/>
      <c r="F52" s="268"/>
      <c r="G52" s="268"/>
      <c r="H52" s="268"/>
      <c r="I52" s="268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16"/>
    </row>
    <row r="53" spans="1:20" ht="15.75">
      <c r="A53" s="108">
        <v>250</v>
      </c>
      <c r="B53" s="108">
        <v>145</v>
      </c>
      <c r="C53" s="108">
        <v>145</v>
      </c>
      <c r="D53" s="108">
        <v>145</v>
      </c>
      <c r="E53" s="108">
        <v>145</v>
      </c>
      <c r="F53" s="108">
        <v>152</v>
      </c>
      <c r="G53" s="108">
        <v>152</v>
      </c>
      <c r="H53" s="108">
        <v>152</v>
      </c>
      <c r="I53" s="108">
        <v>152</v>
      </c>
      <c r="J53" s="108">
        <v>166</v>
      </c>
      <c r="K53" s="108">
        <v>166</v>
      </c>
      <c r="L53" s="108">
        <v>166</v>
      </c>
      <c r="M53" s="108">
        <v>166</v>
      </c>
      <c r="N53" s="108">
        <v>160</v>
      </c>
      <c r="O53" s="108">
        <v>160</v>
      </c>
      <c r="P53" s="108">
        <v>160</v>
      </c>
      <c r="Q53" s="108">
        <v>186</v>
      </c>
      <c r="R53" s="108">
        <v>186</v>
      </c>
      <c r="S53" s="108">
        <v>186</v>
      </c>
      <c r="T53" s="108">
        <v>186</v>
      </c>
    </row>
    <row r="54" spans="1:20" ht="15.75">
      <c r="A54" s="108">
        <v>300</v>
      </c>
      <c r="B54" s="108">
        <v>141</v>
      </c>
      <c r="C54" s="108">
        <v>141</v>
      </c>
      <c r="D54" s="108">
        <v>141</v>
      </c>
      <c r="E54" s="108">
        <v>141</v>
      </c>
      <c r="F54" s="108">
        <v>147</v>
      </c>
      <c r="G54" s="108">
        <v>147</v>
      </c>
      <c r="H54" s="108">
        <v>147</v>
      </c>
      <c r="I54" s="108">
        <v>147</v>
      </c>
      <c r="J54" s="108">
        <v>159</v>
      </c>
      <c r="K54" s="108">
        <v>159</v>
      </c>
      <c r="L54" s="108">
        <v>159</v>
      </c>
      <c r="M54" s="108">
        <v>159</v>
      </c>
      <c r="N54" s="108">
        <v>153</v>
      </c>
      <c r="O54" s="108">
        <v>153</v>
      </c>
      <c r="P54" s="108">
        <v>153</v>
      </c>
      <c r="Q54" s="108">
        <v>180</v>
      </c>
      <c r="R54" s="108">
        <v>180</v>
      </c>
      <c r="S54" s="108">
        <v>180</v>
      </c>
      <c r="T54" s="108">
        <v>180</v>
      </c>
    </row>
    <row r="55" spans="1:20" ht="15.75">
      <c r="A55" s="108">
        <v>350</v>
      </c>
      <c r="B55" s="108">
        <v>137</v>
      </c>
      <c r="C55" s="108">
        <v>137</v>
      </c>
      <c r="D55" s="108">
        <v>137</v>
      </c>
      <c r="E55" s="108">
        <v>137</v>
      </c>
      <c r="F55" s="108">
        <v>140</v>
      </c>
      <c r="G55" s="108">
        <v>140</v>
      </c>
      <c r="H55" s="108">
        <v>140</v>
      </c>
      <c r="I55" s="108">
        <v>140</v>
      </c>
      <c r="J55" s="108">
        <v>152</v>
      </c>
      <c r="K55" s="108">
        <v>152</v>
      </c>
      <c r="L55" s="108">
        <v>152</v>
      </c>
      <c r="M55" s="108">
        <v>152</v>
      </c>
      <c r="N55" s="108">
        <v>147</v>
      </c>
      <c r="O55" s="108">
        <v>147</v>
      </c>
      <c r="P55" s="108">
        <v>147</v>
      </c>
      <c r="Q55" s="108">
        <v>172</v>
      </c>
      <c r="R55" s="108">
        <v>172</v>
      </c>
      <c r="S55" s="108">
        <v>172</v>
      </c>
      <c r="T55" s="108">
        <v>172</v>
      </c>
    </row>
    <row r="56" spans="1:20" ht="15.75">
      <c r="A56" s="108">
        <v>400</v>
      </c>
      <c r="B56" s="108">
        <v>132</v>
      </c>
      <c r="C56" s="108">
        <v>132</v>
      </c>
      <c r="D56" s="108">
        <v>132</v>
      </c>
      <c r="E56" s="108">
        <v>132</v>
      </c>
      <c r="F56" s="108">
        <v>133</v>
      </c>
      <c r="G56" s="108">
        <v>133</v>
      </c>
      <c r="H56" s="108">
        <v>133</v>
      </c>
      <c r="I56" s="108">
        <v>133</v>
      </c>
      <c r="J56" s="108">
        <v>145</v>
      </c>
      <c r="K56" s="108">
        <v>145</v>
      </c>
      <c r="L56" s="108">
        <v>145</v>
      </c>
      <c r="M56" s="108">
        <v>145</v>
      </c>
      <c r="N56" s="108">
        <v>140</v>
      </c>
      <c r="O56" s="108">
        <v>140</v>
      </c>
      <c r="P56" s="108">
        <v>140</v>
      </c>
      <c r="Q56" s="108">
        <v>162</v>
      </c>
      <c r="R56" s="108">
        <v>162</v>
      </c>
      <c r="S56" s="108">
        <v>162</v>
      </c>
      <c r="T56" s="108">
        <v>162</v>
      </c>
    </row>
    <row r="57" spans="1:20" ht="15.75">
      <c r="A57" s="108">
        <v>420</v>
      </c>
      <c r="B57" s="108">
        <v>129</v>
      </c>
      <c r="C57" s="108">
        <v>129</v>
      </c>
      <c r="D57" s="108">
        <v>129</v>
      </c>
      <c r="E57" s="108">
        <v>129</v>
      </c>
      <c r="F57" s="108">
        <v>131</v>
      </c>
      <c r="G57" s="108">
        <v>131</v>
      </c>
      <c r="H57" s="108">
        <v>131</v>
      </c>
      <c r="I57" s="108">
        <v>131</v>
      </c>
      <c r="J57" s="108">
        <v>142</v>
      </c>
      <c r="K57" s="108">
        <v>142</v>
      </c>
      <c r="L57" s="108">
        <v>142</v>
      </c>
      <c r="M57" s="108">
        <v>142</v>
      </c>
      <c r="N57" s="108">
        <v>137</v>
      </c>
      <c r="O57" s="108">
        <v>137</v>
      </c>
      <c r="P57" s="108">
        <v>137</v>
      </c>
      <c r="Q57" s="108">
        <v>158</v>
      </c>
      <c r="R57" s="108">
        <v>158</v>
      </c>
      <c r="S57" s="108">
        <v>158</v>
      </c>
      <c r="T57" s="108">
        <v>158</v>
      </c>
    </row>
    <row r="58" spans="1:20" ht="15.75">
      <c r="A58" s="108">
        <v>440</v>
      </c>
      <c r="B58" s="108">
        <v>126</v>
      </c>
      <c r="C58" s="108">
        <v>126</v>
      </c>
      <c r="D58" s="108">
        <v>126</v>
      </c>
      <c r="E58" s="108">
        <v>126</v>
      </c>
      <c r="F58" s="108">
        <v>128</v>
      </c>
      <c r="G58" s="108">
        <v>128</v>
      </c>
      <c r="H58" s="108">
        <v>128</v>
      </c>
      <c r="I58" s="108">
        <v>128</v>
      </c>
      <c r="J58" s="108">
        <v>139</v>
      </c>
      <c r="K58" s="108">
        <v>139</v>
      </c>
      <c r="L58" s="108">
        <v>139</v>
      </c>
      <c r="M58" s="108">
        <v>139</v>
      </c>
      <c r="N58" s="108">
        <v>134</v>
      </c>
      <c r="O58" s="108">
        <v>134</v>
      </c>
      <c r="P58" s="108">
        <v>134</v>
      </c>
      <c r="Q58" s="108">
        <v>154</v>
      </c>
      <c r="R58" s="108">
        <v>154</v>
      </c>
      <c r="S58" s="108">
        <v>154</v>
      </c>
      <c r="T58" s="108">
        <v>154</v>
      </c>
    </row>
    <row r="59" spans="1:20" ht="15.75">
      <c r="A59" s="108">
        <v>450</v>
      </c>
      <c r="B59" s="108">
        <v>125</v>
      </c>
      <c r="C59" s="108">
        <v>125</v>
      </c>
      <c r="D59" s="108">
        <v>125</v>
      </c>
      <c r="E59" s="108">
        <v>125</v>
      </c>
      <c r="F59" s="108">
        <v>127</v>
      </c>
      <c r="G59" s="108">
        <v>127</v>
      </c>
      <c r="H59" s="108">
        <v>127</v>
      </c>
      <c r="I59" s="108">
        <v>127</v>
      </c>
      <c r="J59" s="108">
        <v>138</v>
      </c>
      <c r="K59" s="108">
        <v>138</v>
      </c>
      <c r="L59" s="108">
        <v>138</v>
      </c>
      <c r="M59" s="108">
        <v>138</v>
      </c>
      <c r="N59" s="108">
        <v>133</v>
      </c>
      <c r="O59" s="108">
        <v>133</v>
      </c>
      <c r="P59" s="108">
        <v>133</v>
      </c>
      <c r="Q59" s="108">
        <v>152</v>
      </c>
      <c r="R59" s="108">
        <v>152</v>
      </c>
      <c r="S59" s="108">
        <v>152</v>
      </c>
      <c r="T59" s="108">
        <v>152</v>
      </c>
    </row>
    <row r="60" spans="1:20" ht="15.75">
      <c r="A60" s="108">
        <v>460</v>
      </c>
      <c r="B60" s="108">
        <v>123</v>
      </c>
      <c r="C60" s="108">
        <v>123</v>
      </c>
      <c r="D60" s="108">
        <v>123</v>
      </c>
      <c r="E60" s="108">
        <v>123</v>
      </c>
      <c r="F60" s="108">
        <v>125</v>
      </c>
      <c r="G60" s="108">
        <v>125</v>
      </c>
      <c r="H60" s="108">
        <v>125</v>
      </c>
      <c r="I60" s="108">
        <v>125</v>
      </c>
      <c r="J60" s="108">
        <v>136</v>
      </c>
      <c r="K60" s="108">
        <v>136</v>
      </c>
      <c r="L60" s="108">
        <v>136</v>
      </c>
      <c r="M60" s="108">
        <v>130</v>
      </c>
      <c r="N60" s="108">
        <v>131</v>
      </c>
      <c r="O60" s="108">
        <v>131</v>
      </c>
      <c r="P60" s="108">
        <v>131</v>
      </c>
      <c r="Q60" s="108">
        <v>150</v>
      </c>
      <c r="R60" s="108">
        <v>150</v>
      </c>
      <c r="S60" s="108">
        <v>150</v>
      </c>
      <c r="T60" s="108">
        <v>150</v>
      </c>
    </row>
    <row r="61" spans="1:20" ht="15.75">
      <c r="A61" s="108">
        <v>480</v>
      </c>
      <c r="B61" s="108">
        <v>120</v>
      </c>
      <c r="C61" s="108">
        <v>120</v>
      </c>
      <c r="D61" s="108">
        <v>102</v>
      </c>
      <c r="E61" s="108">
        <v>102</v>
      </c>
      <c r="F61" s="108">
        <v>122</v>
      </c>
      <c r="G61" s="108">
        <v>122</v>
      </c>
      <c r="H61" s="108">
        <v>113</v>
      </c>
      <c r="I61" s="108">
        <v>103</v>
      </c>
      <c r="J61" s="108">
        <v>133</v>
      </c>
      <c r="K61" s="108">
        <v>133</v>
      </c>
      <c r="L61" s="108">
        <v>120</v>
      </c>
      <c r="M61" s="108">
        <v>107</v>
      </c>
      <c r="N61" s="108">
        <v>128</v>
      </c>
      <c r="O61" s="108">
        <v>128</v>
      </c>
      <c r="P61" s="108">
        <v>119</v>
      </c>
      <c r="Q61" s="108">
        <v>146</v>
      </c>
      <c r="R61" s="108">
        <v>145</v>
      </c>
      <c r="S61" s="108">
        <v>130</v>
      </c>
      <c r="T61" s="108">
        <v>123</v>
      </c>
    </row>
    <row r="62" spans="1:20" ht="15.75">
      <c r="A62" s="108">
        <v>500</v>
      </c>
      <c r="B62" s="108">
        <v>116</v>
      </c>
      <c r="C62" s="108">
        <v>95</v>
      </c>
      <c r="D62" s="108">
        <v>77</v>
      </c>
      <c r="E62" s="108">
        <v>64</v>
      </c>
      <c r="F62" s="108">
        <v>119</v>
      </c>
      <c r="G62" s="108">
        <v>105</v>
      </c>
      <c r="H62" s="108">
        <v>85</v>
      </c>
      <c r="I62" s="108">
        <v>76</v>
      </c>
      <c r="J62" s="108">
        <v>130</v>
      </c>
      <c r="K62" s="108">
        <v>113</v>
      </c>
      <c r="L62" s="108">
        <v>96</v>
      </c>
      <c r="M62" s="108">
        <v>88</v>
      </c>
      <c r="N62" s="108">
        <v>121</v>
      </c>
      <c r="O62" s="108">
        <v>106</v>
      </c>
      <c r="P62" s="108">
        <v>97</v>
      </c>
      <c r="Q62" s="108">
        <v>140</v>
      </c>
      <c r="R62" s="108">
        <v>120</v>
      </c>
      <c r="S62" s="108">
        <v>108</v>
      </c>
      <c r="T62" s="108">
        <v>100</v>
      </c>
    </row>
    <row r="63" spans="1:20" ht="15.75">
      <c r="A63" s="108">
        <v>510</v>
      </c>
      <c r="B63" s="108">
        <v>114</v>
      </c>
      <c r="C63" s="108">
        <v>78</v>
      </c>
      <c r="D63" s="108">
        <v>60</v>
      </c>
      <c r="E63" s="108">
        <v>53</v>
      </c>
      <c r="F63" s="109">
        <v>117</v>
      </c>
      <c r="G63" s="108">
        <v>85</v>
      </c>
      <c r="H63" s="108">
        <v>72</v>
      </c>
      <c r="I63" s="108">
        <v>62</v>
      </c>
      <c r="J63" s="108">
        <v>120</v>
      </c>
      <c r="K63" s="108">
        <v>101</v>
      </c>
      <c r="L63" s="108">
        <v>86</v>
      </c>
      <c r="M63" s="108">
        <v>79</v>
      </c>
      <c r="N63" s="108">
        <v>115</v>
      </c>
      <c r="O63" s="108">
        <v>94</v>
      </c>
      <c r="P63" s="108">
        <v>87</v>
      </c>
      <c r="Q63" s="108">
        <v>137</v>
      </c>
      <c r="R63" s="108">
        <v>107</v>
      </c>
      <c r="S63" s="108">
        <v>96</v>
      </c>
      <c r="T63" s="108">
        <v>90</v>
      </c>
    </row>
    <row r="64" spans="1:20" ht="15.75">
      <c r="A64" s="108">
        <v>520</v>
      </c>
      <c r="B64" s="108">
        <v>107</v>
      </c>
      <c r="C64" s="108">
        <v>66</v>
      </c>
      <c r="D64" s="108">
        <v>49</v>
      </c>
      <c r="E64" s="108">
        <v>43</v>
      </c>
      <c r="F64" s="108">
        <v>110</v>
      </c>
      <c r="G64" s="108">
        <v>70</v>
      </c>
      <c r="H64" s="108">
        <v>58</v>
      </c>
      <c r="I64" s="108">
        <v>50</v>
      </c>
      <c r="J64" s="108">
        <v>112</v>
      </c>
      <c r="K64" s="108">
        <v>90</v>
      </c>
      <c r="L64" s="108">
        <v>77</v>
      </c>
      <c r="M64" s="108">
        <v>72</v>
      </c>
      <c r="N64" s="108">
        <v>105</v>
      </c>
      <c r="O64" s="108">
        <v>85</v>
      </c>
      <c r="P64" s="108">
        <v>79</v>
      </c>
      <c r="Q64" s="108">
        <v>125</v>
      </c>
      <c r="R64" s="108">
        <v>96</v>
      </c>
      <c r="S64" s="108">
        <v>86</v>
      </c>
      <c r="T64" s="108">
        <v>80</v>
      </c>
    </row>
    <row r="65" spans="1:20" ht="15.75">
      <c r="A65" s="108">
        <v>530</v>
      </c>
      <c r="B65" s="108">
        <v>93</v>
      </c>
      <c r="C65" s="108">
        <v>54</v>
      </c>
      <c r="D65" s="108">
        <v>40</v>
      </c>
      <c r="E65" s="108">
        <v>35</v>
      </c>
      <c r="F65" s="108">
        <v>97</v>
      </c>
      <c r="G65" s="108">
        <v>56</v>
      </c>
      <c r="H65" s="108">
        <v>44</v>
      </c>
      <c r="I65" s="108">
        <v>39</v>
      </c>
      <c r="J65" s="108">
        <v>100</v>
      </c>
      <c r="K65" s="108">
        <v>81</v>
      </c>
      <c r="L65" s="108">
        <v>69</v>
      </c>
      <c r="M65" s="108">
        <v>65</v>
      </c>
      <c r="N65" s="108">
        <v>95</v>
      </c>
      <c r="O65" s="108">
        <v>78</v>
      </c>
      <c r="P65" s="108">
        <v>70</v>
      </c>
      <c r="Q65" s="108">
        <v>111</v>
      </c>
      <c r="R65" s="108">
        <v>86</v>
      </c>
      <c r="S65" s="108">
        <v>77</v>
      </c>
      <c r="T65" s="108">
        <v>72</v>
      </c>
    </row>
    <row r="66" spans="1:20" ht="15.75">
      <c r="A66" s="108">
        <v>540</v>
      </c>
      <c r="B66" s="108">
        <v>77</v>
      </c>
      <c r="C66" s="108">
        <v>43</v>
      </c>
      <c r="D66" s="108"/>
      <c r="E66" s="108"/>
      <c r="F66" s="108">
        <v>80</v>
      </c>
      <c r="G66" s="108">
        <v>45</v>
      </c>
      <c r="H66" s="108">
        <v>35</v>
      </c>
      <c r="I66" s="108">
        <v>31</v>
      </c>
      <c r="J66" s="108">
        <v>88</v>
      </c>
      <c r="K66" s="108">
        <v>73</v>
      </c>
      <c r="L66" s="108">
        <v>62</v>
      </c>
      <c r="M66" s="108">
        <v>58</v>
      </c>
      <c r="N66" s="108">
        <v>87</v>
      </c>
      <c r="O66" s="108">
        <v>70</v>
      </c>
      <c r="P66" s="108">
        <v>63</v>
      </c>
      <c r="Q66" s="108">
        <v>100</v>
      </c>
      <c r="R66" s="108">
        <v>78</v>
      </c>
      <c r="S66" s="108">
        <v>69</v>
      </c>
      <c r="T66" s="108">
        <v>65</v>
      </c>
    </row>
    <row r="67" spans="1:20" ht="15.75">
      <c r="A67" s="108">
        <v>550</v>
      </c>
      <c r="B67" s="108">
        <v>60</v>
      </c>
      <c r="C67" s="108"/>
      <c r="D67" s="108"/>
      <c r="E67" s="108"/>
      <c r="F67" s="108">
        <v>62</v>
      </c>
      <c r="G67" s="108">
        <v>35</v>
      </c>
      <c r="H67" s="108">
        <v>26</v>
      </c>
      <c r="I67" s="108">
        <v>23</v>
      </c>
      <c r="J67" s="108">
        <v>80</v>
      </c>
      <c r="K67" s="108">
        <v>66</v>
      </c>
      <c r="L67" s="108">
        <v>56</v>
      </c>
      <c r="M67" s="108">
        <v>52</v>
      </c>
      <c r="N67" s="108">
        <v>80</v>
      </c>
      <c r="O67" s="108">
        <v>63</v>
      </c>
      <c r="P67" s="108">
        <v>56</v>
      </c>
      <c r="Q67" s="108">
        <v>90</v>
      </c>
      <c r="R67" s="108">
        <v>71</v>
      </c>
      <c r="S67" s="108">
        <v>63</v>
      </c>
      <c r="T67" s="108">
        <v>58</v>
      </c>
    </row>
    <row r="68" spans="1:20" ht="15.75">
      <c r="A68" s="108">
        <v>560</v>
      </c>
      <c r="B68" s="108"/>
      <c r="C68" s="108"/>
      <c r="D68" s="108"/>
      <c r="E68" s="108"/>
      <c r="F68" s="108">
        <v>52</v>
      </c>
      <c r="G68" s="108">
        <v>27</v>
      </c>
      <c r="H68" s="108"/>
      <c r="I68" s="108"/>
      <c r="J68" s="108">
        <v>72</v>
      </c>
      <c r="K68" s="108">
        <v>59</v>
      </c>
      <c r="L68" s="108">
        <v>50</v>
      </c>
      <c r="M68" s="108">
        <v>46</v>
      </c>
      <c r="N68" s="108">
        <v>72</v>
      </c>
      <c r="O68" s="108">
        <v>57</v>
      </c>
      <c r="P68" s="108">
        <v>50</v>
      </c>
      <c r="Q68" s="108">
        <v>81</v>
      </c>
      <c r="R68" s="108">
        <v>64</v>
      </c>
      <c r="S68" s="108">
        <v>57</v>
      </c>
      <c r="T68" s="108">
        <v>52</v>
      </c>
    </row>
    <row r="69" spans="1:20" ht="15.75">
      <c r="A69" s="108">
        <v>570</v>
      </c>
      <c r="B69" s="108"/>
      <c r="C69" s="108"/>
      <c r="D69" s="108"/>
      <c r="E69" s="108"/>
      <c r="F69" s="108">
        <v>42</v>
      </c>
      <c r="G69" s="108">
        <v>21</v>
      </c>
      <c r="H69" s="108"/>
      <c r="I69" s="108"/>
      <c r="J69" s="108">
        <v>65</v>
      </c>
      <c r="K69" s="108">
        <v>53</v>
      </c>
      <c r="L69" s="108">
        <v>44</v>
      </c>
      <c r="M69" s="108">
        <v>41</v>
      </c>
      <c r="N69" s="108">
        <v>65</v>
      </c>
      <c r="O69" s="108">
        <v>52</v>
      </c>
      <c r="P69" s="108">
        <v>45</v>
      </c>
      <c r="Q69" s="108">
        <v>73</v>
      </c>
      <c r="R69" s="108">
        <v>57</v>
      </c>
      <c r="S69" s="108">
        <v>51</v>
      </c>
      <c r="T69" s="108">
        <v>47</v>
      </c>
    </row>
    <row r="70" spans="1:20" ht="15.75">
      <c r="A70" s="108">
        <v>580</v>
      </c>
      <c r="B70" s="110"/>
      <c r="C70" s="110"/>
      <c r="D70" s="110"/>
      <c r="E70" s="110"/>
      <c r="F70" s="110"/>
      <c r="G70" s="110"/>
      <c r="H70" s="110"/>
      <c r="I70" s="110"/>
      <c r="J70" s="108">
        <v>59</v>
      </c>
      <c r="K70" s="108">
        <v>47</v>
      </c>
      <c r="L70" s="108">
        <v>39</v>
      </c>
      <c r="M70" s="108">
        <v>36</v>
      </c>
      <c r="N70" s="108">
        <v>59</v>
      </c>
      <c r="O70" s="108">
        <v>46</v>
      </c>
      <c r="P70" s="108">
        <v>41</v>
      </c>
      <c r="Q70" s="108">
        <v>66</v>
      </c>
      <c r="R70" s="108">
        <v>52</v>
      </c>
      <c r="S70" s="108">
        <v>46</v>
      </c>
      <c r="T70" s="108">
        <v>43</v>
      </c>
    </row>
    <row r="71" spans="1:20" ht="15.75">
      <c r="A71" s="108">
        <v>590</v>
      </c>
      <c r="B71" s="110"/>
      <c r="C71" s="110"/>
      <c r="D71" s="110"/>
      <c r="E71" s="110"/>
      <c r="F71" s="110"/>
      <c r="G71" s="110"/>
      <c r="H71" s="110"/>
      <c r="I71" s="110"/>
      <c r="J71" s="108">
        <v>53</v>
      </c>
      <c r="K71" s="108">
        <v>41</v>
      </c>
      <c r="L71" s="108">
        <v>35</v>
      </c>
      <c r="M71" s="108">
        <v>32</v>
      </c>
      <c r="N71" s="108">
        <v>53</v>
      </c>
      <c r="O71" s="108">
        <v>41</v>
      </c>
      <c r="P71" s="108">
        <v>36</v>
      </c>
      <c r="Q71" s="108">
        <v>60</v>
      </c>
      <c r="R71" s="108">
        <v>47</v>
      </c>
      <c r="S71" s="108">
        <v>42</v>
      </c>
      <c r="T71" s="108">
        <v>39</v>
      </c>
    </row>
    <row r="72" spans="1:20" ht="15.75">
      <c r="A72" s="108">
        <v>600</v>
      </c>
      <c r="B72" s="110"/>
      <c r="C72" s="110"/>
      <c r="D72" s="110"/>
      <c r="E72" s="110"/>
      <c r="F72" s="110"/>
      <c r="G72" s="110"/>
      <c r="H72" s="110"/>
      <c r="I72" s="110"/>
      <c r="J72" s="108">
        <v>47</v>
      </c>
      <c r="K72" s="108">
        <v>37</v>
      </c>
      <c r="L72" s="108">
        <v>31</v>
      </c>
      <c r="M72" s="108">
        <v>29</v>
      </c>
      <c r="N72" s="108">
        <v>47</v>
      </c>
      <c r="O72" s="108">
        <v>37</v>
      </c>
      <c r="P72" s="108">
        <v>33</v>
      </c>
      <c r="Q72" s="108">
        <v>54</v>
      </c>
      <c r="R72" s="108">
        <v>43</v>
      </c>
      <c r="S72" s="108">
        <v>38</v>
      </c>
      <c r="T72" s="108">
        <v>35</v>
      </c>
    </row>
    <row r="73" spans="1:20" ht="15.75">
      <c r="A73" s="108">
        <v>610</v>
      </c>
      <c r="B73" s="110"/>
      <c r="C73" s="110"/>
      <c r="D73" s="110"/>
      <c r="E73" s="110"/>
      <c r="F73" s="110"/>
      <c r="G73" s="110"/>
      <c r="H73" s="110"/>
      <c r="I73" s="110"/>
      <c r="J73" s="108">
        <v>41</v>
      </c>
      <c r="K73" s="108">
        <v>33</v>
      </c>
      <c r="L73" s="108"/>
      <c r="M73" s="108"/>
      <c r="N73" s="108">
        <v>41</v>
      </c>
      <c r="O73" s="108">
        <v>33</v>
      </c>
      <c r="P73" s="108">
        <v>28</v>
      </c>
      <c r="Q73" s="108">
        <v>48</v>
      </c>
      <c r="R73" s="108">
        <v>40</v>
      </c>
      <c r="S73" s="108"/>
      <c r="T73" s="108"/>
    </row>
    <row r="74" spans="1:20" ht="15.75">
      <c r="A74" s="108">
        <v>620</v>
      </c>
      <c r="B74" s="110"/>
      <c r="C74" s="110"/>
      <c r="D74" s="110"/>
      <c r="E74" s="110"/>
      <c r="F74" s="110"/>
      <c r="G74" s="110"/>
      <c r="H74" s="110"/>
      <c r="I74" s="110"/>
      <c r="J74" s="108">
        <v>35</v>
      </c>
      <c r="K74" s="108"/>
      <c r="L74" s="108"/>
      <c r="M74" s="108"/>
      <c r="N74" s="108">
        <v>35</v>
      </c>
      <c r="O74" s="108"/>
      <c r="P74" s="108"/>
      <c r="Q74" s="108">
        <v>43</v>
      </c>
      <c r="R74" s="108"/>
      <c r="S74" s="108"/>
      <c r="T74" s="110"/>
    </row>
    <row r="76" spans="2:24" ht="15.75">
      <c r="B76" s="261" t="s">
        <v>184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16"/>
      <c r="X76" s="16"/>
    </row>
    <row r="77" spans="2:14" ht="15.75">
      <c r="B77" s="255" t="s">
        <v>336</v>
      </c>
      <c r="C77" s="266" t="s">
        <v>154</v>
      </c>
      <c r="D77" s="266"/>
      <c r="E77" s="266"/>
      <c r="F77" s="266"/>
      <c r="G77" s="266"/>
      <c r="H77" s="266"/>
      <c r="I77" s="266"/>
      <c r="J77" s="266"/>
      <c r="K77" s="266"/>
      <c r="L77" s="266"/>
      <c r="M77" s="45"/>
      <c r="N77" s="45"/>
    </row>
    <row r="78" spans="2:14" ht="25.5" customHeight="1">
      <c r="B78" s="259"/>
      <c r="C78" s="266" t="s">
        <v>181</v>
      </c>
      <c r="D78" s="266"/>
      <c r="E78" s="266"/>
      <c r="F78" s="266" t="s">
        <v>182</v>
      </c>
      <c r="G78" s="266"/>
      <c r="H78" s="266"/>
      <c r="I78" s="266"/>
      <c r="J78" s="275" t="s">
        <v>183</v>
      </c>
      <c r="K78" s="275"/>
      <c r="L78" s="275"/>
      <c r="M78" s="16"/>
      <c r="N78" s="16"/>
    </row>
    <row r="79" spans="2:14" ht="15.75">
      <c r="B79" s="259"/>
      <c r="C79" s="266" t="s">
        <v>157</v>
      </c>
      <c r="D79" s="266"/>
      <c r="E79" s="266"/>
      <c r="F79" s="266"/>
      <c r="G79" s="266"/>
      <c r="H79" s="266"/>
      <c r="I79" s="266"/>
      <c r="J79" s="266"/>
      <c r="K79" s="266"/>
      <c r="L79" s="266"/>
      <c r="M79" s="45"/>
      <c r="N79" s="45"/>
    </row>
    <row r="80" spans="2:12" ht="18.75">
      <c r="B80" s="256"/>
      <c r="C80" s="111" t="s">
        <v>337</v>
      </c>
      <c r="D80" s="111" t="s">
        <v>338</v>
      </c>
      <c r="E80" s="111" t="s">
        <v>339</v>
      </c>
      <c r="F80" s="111" t="s">
        <v>337</v>
      </c>
      <c r="G80" s="111" t="s">
        <v>338</v>
      </c>
      <c r="H80" s="111" t="s">
        <v>339</v>
      </c>
      <c r="I80" s="111" t="s">
        <v>340</v>
      </c>
      <c r="J80" s="111" t="s">
        <v>337</v>
      </c>
      <c r="K80" s="111" t="s">
        <v>338</v>
      </c>
      <c r="L80" s="111" t="s">
        <v>339</v>
      </c>
    </row>
    <row r="81" spans="2:12" ht="15.75">
      <c r="B81" s="111" t="s">
        <v>165</v>
      </c>
      <c r="C81" s="266">
        <v>195</v>
      </c>
      <c r="D81" s="266">
        <v>195</v>
      </c>
      <c r="E81" s="266">
        <v>195</v>
      </c>
      <c r="F81" s="266">
        <v>147</v>
      </c>
      <c r="G81" s="266">
        <v>147</v>
      </c>
      <c r="H81" s="266">
        <v>147</v>
      </c>
      <c r="I81" s="266">
        <v>147</v>
      </c>
      <c r="J81" s="266">
        <v>147</v>
      </c>
      <c r="K81" s="266">
        <v>147</v>
      </c>
      <c r="L81" s="266">
        <v>147</v>
      </c>
    </row>
    <row r="82" spans="2:12" ht="15.75">
      <c r="B82" s="111" t="s">
        <v>176</v>
      </c>
      <c r="C82" s="266"/>
      <c r="D82" s="266"/>
      <c r="E82" s="266"/>
      <c r="F82" s="266"/>
      <c r="G82" s="266"/>
      <c r="H82" s="266"/>
      <c r="I82" s="266"/>
      <c r="J82" s="266"/>
      <c r="K82" s="266"/>
      <c r="L82" s="266"/>
    </row>
    <row r="83" spans="2:12" ht="15.75">
      <c r="B83" s="111">
        <v>250</v>
      </c>
      <c r="C83" s="111">
        <v>183</v>
      </c>
      <c r="D83" s="111">
        <v>183</v>
      </c>
      <c r="E83" s="111">
        <v>183</v>
      </c>
      <c r="F83" s="111">
        <v>125</v>
      </c>
      <c r="G83" s="111">
        <v>125</v>
      </c>
      <c r="H83" s="111">
        <v>125</v>
      </c>
      <c r="I83" s="111">
        <v>125</v>
      </c>
      <c r="J83" s="111">
        <v>131</v>
      </c>
      <c r="K83" s="111">
        <v>131</v>
      </c>
      <c r="L83" s="111">
        <v>131</v>
      </c>
    </row>
    <row r="84" spans="2:12" ht="15.75">
      <c r="B84" s="111">
        <v>300</v>
      </c>
      <c r="C84" s="111">
        <v>175</v>
      </c>
      <c r="D84" s="111">
        <v>175</v>
      </c>
      <c r="E84" s="111">
        <v>175</v>
      </c>
      <c r="F84" s="111">
        <v>120</v>
      </c>
      <c r="G84" s="111">
        <v>120</v>
      </c>
      <c r="H84" s="111">
        <v>120</v>
      </c>
      <c r="I84" s="111">
        <v>120</v>
      </c>
      <c r="J84" s="111">
        <v>128</v>
      </c>
      <c r="K84" s="111">
        <v>128</v>
      </c>
      <c r="L84" s="111">
        <v>128</v>
      </c>
    </row>
    <row r="85" spans="2:12" ht="15.75">
      <c r="B85" s="111">
        <v>350</v>
      </c>
      <c r="C85" s="111">
        <v>167</v>
      </c>
      <c r="D85" s="111">
        <v>167</v>
      </c>
      <c r="E85" s="111">
        <v>167</v>
      </c>
      <c r="F85" s="111">
        <v>116</v>
      </c>
      <c r="G85" s="111">
        <v>116</v>
      </c>
      <c r="H85" s="111">
        <v>116</v>
      </c>
      <c r="I85" s="111">
        <v>116</v>
      </c>
      <c r="J85" s="111">
        <v>125</v>
      </c>
      <c r="K85" s="111">
        <v>125</v>
      </c>
      <c r="L85" s="111">
        <v>125</v>
      </c>
    </row>
    <row r="86" spans="2:12" ht="15.75">
      <c r="B86" s="111">
        <v>400</v>
      </c>
      <c r="C86" s="111">
        <v>158</v>
      </c>
      <c r="D86" s="111">
        <v>158</v>
      </c>
      <c r="E86" s="111">
        <v>158</v>
      </c>
      <c r="F86" s="111">
        <v>111</v>
      </c>
      <c r="G86" s="111">
        <v>111</v>
      </c>
      <c r="H86" s="111">
        <v>111</v>
      </c>
      <c r="I86" s="111">
        <v>111</v>
      </c>
      <c r="J86" s="111">
        <v>123</v>
      </c>
      <c r="K86" s="111">
        <v>123</v>
      </c>
      <c r="L86" s="111">
        <v>123</v>
      </c>
    </row>
    <row r="87" spans="2:12" ht="15.75">
      <c r="B87" s="111">
        <v>450</v>
      </c>
      <c r="C87" s="111">
        <v>152</v>
      </c>
      <c r="D87" s="111">
        <v>152</v>
      </c>
      <c r="E87" s="111">
        <v>152</v>
      </c>
      <c r="F87" s="111">
        <v>107</v>
      </c>
      <c r="G87" s="111">
        <v>107</v>
      </c>
      <c r="H87" s="111">
        <v>107</v>
      </c>
      <c r="I87" s="111">
        <v>107</v>
      </c>
      <c r="J87" s="111">
        <v>120</v>
      </c>
      <c r="K87" s="111">
        <v>120</v>
      </c>
      <c r="L87" s="111">
        <v>120</v>
      </c>
    </row>
    <row r="88" spans="2:12" ht="15.75">
      <c r="B88" s="111">
        <v>500</v>
      </c>
      <c r="C88" s="111">
        <v>145</v>
      </c>
      <c r="D88" s="111">
        <v>145</v>
      </c>
      <c r="E88" s="111">
        <v>145</v>
      </c>
      <c r="F88" s="111">
        <v>104</v>
      </c>
      <c r="G88" s="111">
        <v>104</v>
      </c>
      <c r="H88" s="111">
        <v>104</v>
      </c>
      <c r="I88" s="111">
        <v>104</v>
      </c>
      <c r="J88" s="111">
        <v>117</v>
      </c>
      <c r="K88" s="111">
        <v>117</v>
      </c>
      <c r="L88" s="111">
        <v>117</v>
      </c>
    </row>
    <row r="89" spans="2:12" ht="15.75">
      <c r="B89" s="111">
        <v>520</v>
      </c>
      <c r="C89" s="111">
        <v>143</v>
      </c>
      <c r="D89" s="111">
        <v>134</v>
      </c>
      <c r="E89" s="111">
        <v>128</v>
      </c>
      <c r="F89" s="111">
        <v>103</v>
      </c>
      <c r="G89" s="111">
        <v>103</v>
      </c>
      <c r="H89" s="111">
        <v>103</v>
      </c>
      <c r="I89" s="111">
        <v>103</v>
      </c>
      <c r="J89" s="111">
        <v>116</v>
      </c>
      <c r="K89" s="111">
        <v>116</v>
      </c>
      <c r="L89" s="111">
        <v>116</v>
      </c>
    </row>
    <row r="90" spans="2:12" ht="15.75">
      <c r="B90" s="111">
        <v>530</v>
      </c>
      <c r="C90" s="111">
        <v>141</v>
      </c>
      <c r="D90" s="111">
        <v>124</v>
      </c>
      <c r="E90" s="111">
        <v>119</v>
      </c>
      <c r="F90" s="111">
        <v>103</v>
      </c>
      <c r="G90" s="111">
        <v>103</v>
      </c>
      <c r="H90" s="111">
        <v>103</v>
      </c>
      <c r="I90" s="111">
        <v>102</v>
      </c>
      <c r="J90" s="111">
        <v>116</v>
      </c>
      <c r="K90" s="111">
        <v>116</v>
      </c>
      <c r="L90" s="111">
        <v>116</v>
      </c>
    </row>
    <row r="91" spans="2:12" ht="15.75">
      <c r="B91" s="111">
        <v>540</v>
      </c>
      <c r="C91" s="111">
        <v>140</v>
      </c>
      <c r="D91" s="111">
        <v>115</v>
      </c>
      <c r="E91" s="111">
        <v>108</v>
      </c>
      <c r="F91" s="111">
        <v>102</v>
      </c>
      <c r="G91" s="111">
        <v>102</v>
      </c>
      <c r="H91" s="111">
        <v>102</v>
      </c>
      <c r="I91" s="111">
        <v>100</v>
      </c>
      <c r="J91" s="111">
        <v>115</v>
      </c>
      <c r="K91" s="111">
        <v>115</v>
      </c>
      <c r="L91" s="111">
        <v>115</v>
      </c>
    </row>
    <row r="92" spans="2:12" ht="15.75">
      <c r="B92" s="111">
        <v>550</v>
      </c>
      <c r="C92" s="111">
        <v>130</v>
      </c>
      <c r="D92" s="111">
        <v>107</v>
      </c>
      <c r="E92" s="111">
        <v>100</v>
      </c>
      <c r="F92" s="111">
        <v>102</v>
      </c>
      <c r="G92" s="111">
        <v>102</v>
      </c>
      <c r="H92" s="111">
        <v>100</v>
      </c>
      <c r="I92" s="111">
        <v>93</v>
      </c>
      <c r="J92" s="111">
        <v>115</v>
      </c>
      <c r="K92" s="111">
        <v>115</v>
      </c>
      <c r="L92" s="111">
        <v>115</v>
      </c>
    </row>
    <row r="93" spans="2:12" ht="15.75">
      <c r="B93" s="111">
        <v>560</v>
      </c>
      <c r="C93" s="111">
        <v>121</v>
      </c>
      <c r="D93" s="111">
        <v>97</v>
      </c>
      <c r="E93" s="111">
        <v>90</v>
      </c>
      <c r="F93" s="113">
        <v>101</v>
      </c>
      <c r="G93" s="111">
        <v>101</v>
      </c>
      <c r="H93" s="111">
        <v>91</v>
      </c>
      <c r="I93" s="111">
        <v>87</v>
      </c>
      <c r="J93" s="111">
        <v>114</v>
      </c>
      <c r="K93" s="111">
        <v>114</v>
      </c>
      <c r="L93" s="111">
        <v>114</v>
      </c>
    </row>
    <row r="94" spans="2:12" ht="15.75">
      <c r="B94" s="111">
        <v>570</v>
      </c>
      <c r="C94" s="111">
        <v>113</v>
      </c>
      <c r="D94" s="111">
        <v>87</v>
      </c>
      <c r="E94" s="111">
        <v>80</v>
      </c>
      <c r="F94" s="113">
        <v>101</v>
      </c>
      <c r="G94" s="111">
        <v>97</v>
      </c>
      <c r="H94" s="111">
        <v>87</v>
      </c>
      <c r="I94" s="111">
        <v>81</v>
      </c>
      <c r="J94" s="111">
        <v>114</v>
      </c>
      <c r="K94" s="111">
        <v>114</v>
      </c>
      <c r="L94" s="111">
        <v>114</v>
      </c>
    </row>
    <row r="95" spans="2:12" ht="15.75">
      <c r="B95" s="111">
        <v>580</v>
      </c>
      <c r="C95" s="111">
        <v>104</v>
      </c>
      <c r="D95" s="111">
        <v>78</v>
      </c>
      <c r="E95" s="111">
        <v>72</v>
      </c>
      <c r="F95" s="113">
        <v>100</v>
      </c>
      <c r="G95" s="111">
        <v>90</v>
      </c>
      <c r="H95" s="111">
        <v>81</v>
      </c>
      <c r="I95" s="111">
        <v>74</v>
      </c>
      <c r="J95" s="111">
        <v>113</v>
      </c>
      <c r="K95" s="111">
        <v>113</v>
      </c>
      <c r="L95" s="111">
        <v>113</v>
      </c>
    </row>
    <row r="96" spans="2:12" ht="15.75">
      <c r="B96" s="111">
        <v>590</v>
      </c>
      <c r="C96" s="111">
        <v>95</v>
      </c>
      <c r="D96" s="111">
        <v>69</v>
      </c>
      <c r="E96" s="111">
        <v>64</v>
      </c>
      <c r="F96" s="113">
        <v>98</v>
      </c>
      <c r="G96" s="111">
        <v>81</v>
      </c>
      <c r="H96" s="111">
        <v>73</v>
      </c>
      <c r="I96" s="111">
        <v>68</v>
      </c>
      <c r="J96" s="111">
        <v>113</v>
      </c>
      <c r="K96" s="111">
        <v>113</v>
      </c>
      <c r="L96" s="111">
        <v>109</v>
      </c>
    </row>
    <row r="97" spans="2:12" ht="15.75">
      <c r="B97" s="111">
        <v>600</v>
      </c>
      <c r="C97" s="111">
        <v>87</v>
      </c>
      <c r="D97" s="111">
        <v>60</v>
      </c>
      <c r="E97" s="111">
        <v>55</v>
      </c>
      <c r="F97" s="113">
        <v>94</v>
      </c>
      <c r="G97" s="111">
        <v>74</v>
      </c>
      <c r="H97" s="111">
        <v>66</v>
      </c>
      <c r="I97" s="111">
        <v>62</v>
      </c>
      <c r="J97" s="111">
        <v>112</v>
      </c>
      <c r="K97" s="111">
        <v>112</v>
      </c>
      <c r="L97" s="111">
        <v>102</v>
      </c>
    </row>
    <row r="98" spans="2:12" ht="15.75">
      <c r="B98" s="111">
        <v>610</v>
      </c>
      <c r="C98" s="111">
        <v>78</v>
      </c>
      <c r="D98" s="111">
        <v>51</v>
      </c>
      <c r="E98" s="111">
        <v>47</v>
      </c>
      <c r="F98" s="113">
        <v>88</v>
      </c>
      <c r="G98" s="111">
        <v>68</v>
      </c>
      <c r="H98" s="111">
        <v>59</v>
      </c>
      <c r="I98" s="111">
        <v>55</v>
      </c>
      <c r="J98" s="111">
        <v>111</v>
      </c>
      <c r="K98" s="111">
        <v>104</v>
      </c>
      <c r="L98" s="111">
        <v>94</v>
      </c>
    </row>
    <row r="99" spans="2:12" ht="15.75">
      <c r="B99" s="111">
        <v>620</v>
      </c>
      <c r="C99" s="111">
        <v>70</v>
      </c>
      <c r="D99" s="111">
        <v>47</v>
      </c>
      <c r="E99" s="111">
        <v>39</v>
      </c>
      <c r="F99" s="113">
        <v>82</v>
      </c>
      <c r="G99" s="111">
        <v>62</v>
      </c>
      <c r="H99" s="111">
        <v>53</v>
      </c>
      <c r="I99" s="111">
        <v>50</v>
      </c>
      <c r="J99" s="111">
        <v>111</v>
      </c>
      <c r="K99" s="111">
        <v>97</v>
      </c>
      <c r="L99" s="111">
        <v>87</v>
      </c>
    </row>
    <row r="100" spans="2:12" ht="15.75">
      <c r="B100" s="111">
        <v>630</v>
      </c>
      <c r="C100" s="111">
        <v>62</v>
      </c>
      <c r="D100" s="111">
        <v>37</v>
      </c>
      <c r="E100" s="111">
        <v>31</v>
      </c>
      <c r="F100" s="113">
        <v>78</v>
      </c>
      <c r="G100" s="111">
        <v>57</v>
      </c>
      <c r="H100" s="111">
        <v>49</v>
      </c>
      <c r="I100" s="111">
        <v>46</v>
      </c>
      <c r="J100" s="111">
        <v>110</v>
      </c>
      <c r="K100" s="111">
        <v>89</v>
      </c>
      <c r="L100" s="111">
        <v>79</v>
      </c>
    </row>
    <row r="101" spans="2:12" ht="15.75">
      <c r="B101" s="111">
        <v>640</v>
      </c>
      <c r="C101" s="111">
        <v>54</v>
      </c>
      <c r="D101" s="111">
        <v>27</v>
      </c>
      <c r="E101" s="111">
        <v>23</v>
      </c>
      <c r="F101" s="113">
        <v>72</v>
      </c>
      <c r="G101" s="111">
        <v>52</v>
      </c>
      <c r="H101" s="111">
        <v>45</v>
      </c>
      <c r="I101" s="111">
        <v>42</v>
      </c>
      <c r="J101" s="111">
        <v>110</v>
      </c>
      <c r="K101" s="111">
        <v>81</v>
      </c>
      <c r="L101" s="111">
        <v>72</v>
      </c>
    </row>
    <row r="102" spans="2:12" ht="15.75">
      <c r="B102" s="111">
        <v>650</v>
      </c>
      <c r="C102" s="111">
        <v>45</v>
      </c>
      <c r="D102" s="111">
        <v>20</v>
      </c>
      <c r="E102" s="111"/>
      <c r="F102" s="113">
        <v>65</v>
      </c>
      <c r="G102" s="111">
        <v>48</v>
      </c>
      <c r="H102" s="111">
        <v>41</v>
      </c>
      <c r="I102" s="111">
        <v>38</v>
      </c>
      <c r="J102" s="111">
        <v>109</v>
      </c>
      <c r="K102" s="111">
        <v>74</v>
      </c>
      <c r="L102" s="111">
        <v>64</v>
      </c>
    </row>
    <row r="103" spans="2:12" ht="15.75">
      <c r="B103" s="111">
        <v>660</v>
      </c>
      <c r="C103" s="111">
        <v>38</v>
      </c>
      <c r="D103" s="111"/>
      <c r="E103" s="111"/>
      <c r="F103" s="113">
        <v>60</v>
      </c>
      <c r="G103" s="111">
        <v>45</v>
      </c>
      <c r="H103" s="111">
        <v>37</v>
      </c>
      <c r="I103" s="111"/>
      <c r="J103" s="111">
        <v>103</v>
      </c>
      <c r="K103" s="111">
        <v>66</v>
      </c>
      <c r="L103" s="111">
        <v>56</v>
      </c>
    </row>
    <row r="104" spans="2:12" ht="15.75">
      <c r="B104" s="111">
        <v>670</v>
      </c>
      <c r="C104" s="111">
        <v>30</v>
      </c>
      <c r="D104" s="111"/>
      <c r="E104" s="111"/>
      <c r="F104" s="113">
        <v>55</v>
      </c>
      <c r="G104" s="111">
        <v>41</v>
      </c>
      <c r="H104" s="111">
        <v>34</v>
      </c>
      <c r="I104" s="111"/>
      <c r="J104" s="111">
        <v>96</v>
      </c>
      <c r="K104" s="111">
        <v>59</v>
      </c>
      <c r="L104" s="111">
        <v>49</v>
      </c>
    </row>
    <row r="105" spans="2:12" ht="15.75">
      <c r="B105" s="111">
        <v>680</v>
      </c>
      <c r="C105" s="111"/>
      <c r="D105" s="111"/>
      <c r="E105" s="111"/>
      <c r="F105" s="113">
        <v>50</v>
      </c>
      <c r="G105" s="111">
        <v>38</v>
      </c>
      <c r="H105" s="111">
        <v>32</v>
      </c>
      <c r="I105" s="111"/>
      <c r="J105" s="111">
        <v>88</v>
      </c>
      <c r="K105" s="111">
        <v>52</v>
      </c>
      <c r="L105" s="111">
        <v>41</v>
      </c>
    </row>
    <row r="106" spans="2:12" ht="15.75">
      <c r="B106" s="111">
        <v>690</v>
      </c>
      <c r="C106" s="111"/>
      <c r="D106" s="111"/>
      <c r="E106" s="111"/>
      <c r="F106" s="113">
        <v>45</v>
      </c>
      <c r="G106" s="111">
        <v>34</v>
      </c>
      <c r="H106" s="111">
        <v>28</v>
      </c>
      <c r="I106" s="111"/>
      <c r="J106" s="111">
        <v>79</v>
      </c>
      <c r="K106" s="111">
        <v>44</v>
      </c>
      <c r="L106" s="111">
        <v>34</v>
      </c>
    </row>
    <row r="107" spans="2:12" ht="15.75">
      <c r="B107" s="111">
        <v>700</v>
      </c>
      <c r="C107" s="111"/>
      <c r="D107" s="111"/>
      <c r="E107" s="111"/>
      <c r="F107" s="113">
        <v>40</v>
      </c>
      <c r="G107" s="111">
        <v>30</v>
      </c>
      <c r="H107" s="111">
        <v>25</v>
      </c>
      <c r="I107" s="111"/>
      <c r="J107" s="111">
        <v>71</v>
      </c>
      <c r="K107" s="111">
        <v>37</v>
      </c>
      <c r="L107" s="111">
        <v>27</v>
      </c>
    </row>
    <row r="109" spans="2:14" ht="15.75">
      <c r="B109" s="39" t="s">
        <v>186</v>
      </c>
      <c r="C109" s="38"/>
      <c r="D109" s="38"/>
      <c r="E109" s="38"/>
      <c r="F109" s="38"/>
      <c r="G109" s="38"/>
      <c r="H109" s="38"/>
      <c r="I109" s="38"/>
      <c r="J109" s="39" t="s">
        <v>188</v>
      </c>
      <c r="K109" s="38"/>
      <c r="L109" s="38"/>
      <c r="M109" s="38"/>
      <c r="N109" s="38"/>
    </row>
    <row r="110" spans="2:11" ht="31.5">
      <c r="B110" s="255" t="s">
        <v>336</v>
      </c>
      <c r="C110" s="266" t="s">
        <v>157</v>
      </c>
      <c r="D110" s="266"/>
      <c r="E110" s="266"/>
      <c r="J110" s="112" t="s">
        <v>341</v>
      </c>
      <c r="K110" s="111" t="s">
        <v>343</v>
      </c>
    </row>
    <row r="111" spans="2:11" ht="18.75">
      <c r="B111" s="256"/>
      <c r="C111" s="108" t="s">
        <v>337</v>
      </c>
      <c r="D111" s="108" t="s">
        <v>338</v>
      </c>
      <c r="E111" s="108" t="s">
        <v>339</v>
      </c>
      <c r="J111" s="111" t="s">
        <v>187</v>
      </c>
      <c r="K111" s="111">
        <v>180</v>
      </c>
    </row>
    <row r="112" spans="2:11" ht="31.5">
      <c r="B112" s="111" t="s">
        <v>185</v>
      </c>
      <c r="C112" s="111">
        <v>167</v>
      </c>
      <c r="D112" s="111">
        <v>167</v>
      </c>
      <c r="E112" s="111">
        <v>167</v>
      </c>
      <c r="J112" s="111">
        <v>200</v>
      </c>
      <c r="K112" s="111">
        <v>163</v>
      </c>
    </row>
    <row r="113" spans="2:11" ht="15.75">
      <c r="B113" s="111">
        <v>250</v>
      </c>
      <c r="C113" s="111">
        <v>160</v>
      </c>
      <c r="D113" s="111">
        <v>160</v>
      </c>
      <c r="E113" s="111">
        <v>160</v>
      </c>
      <c r="J113" s="111">
        <v>250</v>
      </c>
      <c r="K113" s="111">
        <v>160</v>
      </c>
    </row>
    <row r="114" spans="2:11" ht="15.75">
      <c r="B114" s="111">
        <v>300</v>
      </c>
      <c r="C114" s="111">
        <v>157</v>
      </c>
      <c r="D114" s="111">
        <v>157</v>
      </c>
      <c r="E114" s="111">
        <v>157</v>
      </c>
      <c r="J114" s="111">
        <v>300</v>
      </c>
      <c r="K114" s="111">
        <v>153</v>
      </c>
    </row>
    <row r="115" spans="2:11" ht="15.75">
      <c r="B115" s="111">
        <v>350</v>
      </c>
      <c r="C115" s="111">
        <v>154</v>
      </c>
      <c r="D115" s="111">
        <v>154</v>
      </c>
      <c r="E115" s="111">
        <v>154</v>
      </c>
      <c r="J115" s="111">
        <v>350</v>
      </c>
      <c r="K115" s="111">
        <v>146</v>
      </c>
    </row>
    <row r="116" spans="2:11" ht="15.75">
      <c r="B116" s="111">
        <v>400</v>
      </c>
      <c r="C116" s="111">
        <v>151</v>
      </c>
      <c r="D116" s="111">
        <v>151</v>
      </c>
      <c r="E116" s="111">
        <v>151</v>
      </c>
      <c r="J116" s="111">
        <v>400</v>
      </c>
      <c r="K116" s="111">
        <v>140</v>
      </c>
    </row>
    <row r="117" spans="2:11" ht="15.75">
      <c r="B117" s="111">
        <v>450</v>
      </c>
      <c r="C117" s="111">
        <v>148</v>
      </c>
      <c r="D117" s="111">
        <v>148</v>
      </c>
      <c r="E117" s="111">
        <v>148</v>
      </c>
      <c r="J117" s="111">
        <v>450</v>
      </c>
      <c r="K117" s="111">
        <v>133</v>
      </c>
    </row>
    <row r="118" spans="2:11" ht="15.75">
      <c r="B118" s="111">
        <v>470</v>
      </c>
      <c r="C118" s="111">
        <v>147</v>
      </c>
      <c r="D118" s="111">
        <v>147</v>
      </c>
      <c r="E118" s="111">
        <v>147</v>
      </c>
      <c r="J118" s="111">
        <v>480</v>
      </c>
      <c r="K118" s="111">
        <v>123</v>
      </c>
    </row>
    <row r="119" spans="2:11" ht="15.75">
      <c r="B119" s="111">
        <v>480</v>
      </c>
      <c r="C119" s="111">
        <v>146</v>
      </c>
      <c r="D119" s="111">
        <v>146</v>
      </c>
      <c r="E119" s="111">
        <v>143</v>
      </c>
      <c r="J119" s="111">
        <v>500</v>
      </c>
      <c r="K119" s="111">
        <v>96</v>
      </c>
    </row>
    <row r="120" spans="2:11" ht="15.75">
      <c r="B120" s="111">
        <v>490</v>
      </c>
      <c r="C120" s="111">
        <v>145</v>
      </c>
      <c r="D120" s="111">
        <v>138</v>
      </c>
      <c r="E120" s="111">
        <v>132</v>
      </c>
      <c r="J120" s="111">
        <v>520</v>
      </c>
      <c r="K120" s="111">
        <v>73</v>
      </c>
    </row>
    <row r="121" spans="2:11" ht="15.75">
      <c r="B121" s="111">
        <v>500</v>
      </c>
      <c r="C121" s="111">
        <v>145</v>
      </c>
      <c r="D121" s="111">
        <v>127</v>
      </c>
      <c r="E121" s="111">
        <v>122</v>
      </c>
      <c r="J121" s="111">
        <v>540</v>
      </c>
      <c r="K121" s="111">
        <v>53</v>
      </c>
    </row>
    <row r="122" spans="2:11" ht="15.75">
      <c r="B122" s="111">
        <v>520</v>
      </c>
      <c r="C122" s="111">
        <v>127</v>
      </c>
      <c r="D122" s="111">
        <v>108</v>
      </c>
      <c r="E122" s="111">
        <v>102</v>
      </c>
      <c r="J122" s="111">
        <v>560</v>
      </c>
      <c r="K122" s="111">
        <v>38</v>
      </c>
    </row>
    <row r="123" spans="2:11" ht="15.75">
      <c r="B123" s="111">
        <v>540</v>
      </c>
      <c r="C123" s="111">
        <v>109</v>
      </c>
      <c r="D123" s="111">
        <v>90</v>
      </c>
      <c r="E123" s="111">
        <v>83</v>
      </c>
      <c r="J123" s="111">
        <v>580</v>
      </c>
      <c r="K123" s="111">
        <v>28</v>
      </c>
    </row>
    <row r="124" spans="2:5" ht="15.75">
      <c r="B124" s="111">
        <v>550</v>
      </c>
      <c r="C124" s="111">
        <v>100</v>
      </c>
      <c r="D124" s="111"/>
      <c r="E124" s="111"/>
    </row>
    <row r="126" spans="2:5" ht="15.75">
      <c r="B126" s="45"/>
      <c r="C126" s="45"/>
      <c r="D126" s="45"/>
      <c r="E126" s="45"/>
    </row>
    <row r="127" spans="2:5" ht="15.75">
      <c r="B127" s="45"/>
      <c r="C127" s="45"/>
      <c r="D127" s="45"/>
      <c r="E127" s="45"/>
    </row>
    <row r="128" spans="2:5" ht="15.75">
      <c r="B128" s="45"/>
      <c r="C128" s="45"/>
      <c r="D128" s="45"/>
      <c r="E128" s="45"/>
    </row>
    <row r="129" spans="2:5" ht="15.75">
      <c r="B129" s="45"/>
      <c r="C129" s="45"/>
      <c r="D129" s="45"/>
      <c r="E129" s="45"/>
    </row>
    <row r="130" spans="2:5" ht="15.75">
      <c r="B130" s="45"/>
      <c r="C130" s="45"/>
      <c r="D130" s="45"/>
      <c r="E130" s="45"/>
    </row>
    <row r="131" spans="2:5" ht="15.75">
      <c r="B131" s="45"/>
      <c r="C131" s="45"/>
      <c r="D131" s="45"/>
      <c r="E131" s="45"/>
    </row>
    <row r="132" spans="2:5" ht="15.75">
      <c r="B132" s="45"/>
      <c r="C132" s="45"/>
      <c r="D132" s="45"/>
      <c r="E132" s="45"/>
    </row>
    <row r="133" spans="2:5" ht="15.75">
      <c r="B133" s="45"/>
      <c r="C133" s="45"/>
      <c r="D133" s="45"/>
      <c r="E133" s="45"/>
    </row>
    <row r="134" spans="2:5" ht="15.75">
      <c r="B134" s="45"/>
      <c r="C134" s="45"/>
      <c r="D134" s="45"/>
      <c r="E134" s="45"/>
    </row>
  </sheetData>
  <sheetProtection password="CE28" sheet="1" objects="1" scenarios="1"/>
  <mergeCells count="89">
    <mergeCell ref="N23:N24"/>
    <mergeCell ref="C110:E110"/>
    <mergeCell ref="R51:R52"/>
    <mergeCell ref="J48:M48"/>
    <mergeCell ref="Q48:T48"/>
    <mergeCell ref="S51:S52"/>
    <mergeCell ref="P51:P52"/>
    <mergeCell ref="O51:O52"/>
    <mergeCell ref="K51:K52"/>
    <mergeCell ref="S23:S24"/>
    <mergeCell ref="E23:E24"/>
    <mergeCell ref="L23:L24"/>
    <mergeCell ref="G23:G24"/>
    <mergeCell ref="H23:H24"/>
    <mergeCell ref="H51:H52"/>
    <mergeCell ref="I51:I52"/>
    <mergeCell ref="F48:I48"/>
    <mergeCell ref="R23:R24"/>
    <mergeCell ref="B48:E48"/>
    <mergeCell ref="T23:T24"/>
    <mergeCell ref="Q23:Q24"/>
    <mergeCell ref="O23:O24"/>
    <mergeCell ref="P23:P24"/>
    <mergeCell ref="G81:G82"/>
    <mergeCell ref="H81:H82"/>
    <mergeCell ref="I81:I82"/>
    <mergeCell ref="M23:M24"/>
    <mergeCell ref="G51:G52"/>
    <mergeCell ref="J51:J52"/>
    <mergeCell ref="J23:J24"/>
    <mergeCell ref="K23:K24"/>
    <mergeCell ref="S20:U20"/>
    <mergeCell ref="B2:J2"/>
    <mergeCell ref="B4:B5"/>
    <mergeCell ref="C4:C5"/>
    <mergeCell ref="D4:D5"/>
    <mergeCell ref="E4:E5"/>
    <mergeCell ref="F4:F5"/>
    <mergeCell ref="U23:U24"/>
    <mergeCell ref="G4:G5"/>
    <mergeCell ref="F78:I78"/>
    <mergeCell ref="C77:L77"/>
    <mergeCell ref="B76:L76"/>
    <mergeCell ref="B77:B80"/>
    <mergeCell ref="A1:J1"/>
    <mergeCell ref="A18:N18"/>
    <mergeCell ref="N48:P48"/>
    <mergeCell ref="B47:T47"/>
    <mergeCell ref="D23:D24"/>
    <mergeCell ref="D81:D82"/>
    <mergeCell ref="E81:E82"/>
    <mergeCell ref="F51:F52"/>
    <mergeCell ref="T51:T52"/>
    <mergeCell ref="L51:L52"/>
    <mergeCell ref="M51:M52"/>
    <mergeCell ref="N51:N52"/>
    <mergeCell ref="Q51:Q52"/>
    <mergeCell ref="C78:E78"/>
    <mergeCell ref="J78:L78"/>
    <mergeCell ref="B21:U21"/>
    <mergeCell ref="K81:K82"/>
    <mergeCell ref="L81:L82"/>
    <mergeCell ref="F23:F24"/>
    <mergeCell ref="I23:I24"/>
    <mergeCell ref="C79:L79"/>
    <mergeCell ref="F81:F82"/>
    <mergeCell ref="J81:J82"/>
    <mergeCell ref="B51:B52"/>
    <mergeCell ref="C81:C82"/>
    <mergeCell ref="C51:C52"/>
    <mergeCell ref="D51:D52"/>
    <mergeCell ref="E51:E52"/>
    <mergeCell ref="H4:H5"/>
    <mergeCell ref="I4:I5"/>
    <mergeCell ref="B49:T49"/>
    <mergeCell ref="J4:J5"/>
    <mergeCell ref="I20:L20"/>
    <mergeCell ref="M20:O20"/>
    <mergeCell ref="P20:R20"/>
    <mergeCell ref="A2:A3"/>
    <mergeCell ref="B110:B111"/>
    <mergeCell ref="B19:U19"/>
    <mergeCell ref="A19:A22"/>
    <mergeCell ref="A47:A50"/>
    <mergeCell ref="A46:T46"/>
    <mergeCell ref="B20:E20"/>
    <mergeCell ref="F20:H20"/>
    <mergeCell ref="B23:B24"/>
    <mergeCell ref="C23:C24"/>
  </mergeCells>
  <printOptions/>
  <pageMargins left="0.75" right="0.75" top="1" bottom="1" header="0.5" footer="0.5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0" zoomScaleSheetLayoutView="90" zoomScalePageLayoutView="0" workbookViewId="0" topLeftCell="A1">
      <selection activeCell="E13" sqref="E13"/>
    </sheetView>
  </sheetViews>
  <sheetFormatPr defaultColWidth="9.00390625" defaultRowHeight="15.75"/>
  <cols>
    <col min="1" max="1" width="4.75390625" style="0" customWidth="1"/>
    <col min="2" max="6" width="9.875" style="0" customWidth="1"/>
    <col min="7" max="7" width="8.75390625" style="0" customWidth="1"/>
    <col min="8" max="8" width="9.25390625" style="0" customWidth="1"/>
  </cols>
  <sheetData>
    <row r="1" ht="20.25">
      <c r="A1" s="121" t="s">
        <v>370</v>
      </c>
    </row>
    <row r="2" ht="20.25">
      <c r="A2" s="121" t="s">
        <v>371</v>
      </c>
    </row>
    <row r="3" ht="20.25">
      <c r="A3" s="121" t="s">
        <v>373</v>
      </c>
    </row>
    <row r="4" ht="20.25">
      <c r="A4" s="121" t="s">
        <v>372</v>
      </c>
    </row>
    <row r="5" ht="20.25">
      <c r="A5" s="121" t="s">
        <v>407</v>
      </c>
    </row>
    <row r="7" spans="2:6" ht="15.75">
      <c r="B7" s="279" t="s">
        <v>82</v>
      </c>
      <c r="C7" s="279"/>
      <c r="D7" s="277"/>
      <c r="E7" s="278" t="s">
        <v>72</v>
      </c>
      <c r="F7" s="278" t="s">
        <v>73</v>
      </c>
    </row>
    <row r="8" spans="2:6" ht="15.75">
      <c r="B8" s="279"/>
      <c r="C8" s="279"/>
      <c r="D8" s="277"/>
      <c r="E8" s="278"/>
      <c r="F8" s="278"/>
    </row>
    <row r="9" spans="2:6" ht="15.75">
      <c r="B9" s="277" t="s">
        <v>79</v>
      </c>
      <c r="C9" s="277"/>
      <c r="D9" s="277"/>
      <c r="E9" s="5"/>
      <c r="F9" s="5"/>
    </row>
    <row r="10" spans="2:6" ht="15.75">
      <c r="B10" s="276" t="s">
        <v>78</v>
      </c>
      <c r="C10" s="276"/>
      <c r="D10" s="277"/>
      <c r="E10" s="12">
        <v>23</v>
      </c>
      <c r="F10" s="12">
        <v>26</v>
      </c>
    </row>
    <row r="11" spans="2:6" ht="15.75">
      <c r="B11" s="276" t="s">
        <v>91</v>
      </c>
      <c r="C11" s="276"/>
      <c r="D11" s="277"/>
      <c r="E11" s="12">
        <v>4</v>
      </c>
      <c r="F11" s="12">
        <v>0</v>
      </c>
    </row>
    <row r="12" spans="2:6" ht="15.75">
      <c r="B12" s="276" t="s">
        <v>80</v>
      </c>
      <c r="C12" s="276"/>
      <c r="D12" s="277"/>
      <c r="E12" s="12">
        <v>3</v>
      </c>
      <c r="F12" s="12">
        <v>4</v>
      </c>
    </row>
    <row r="13" spans="2:6" ht="15.75">
      <c r="B13" s="276" t="s">
        <v>81</v>
      </c>
      <c r="C13" s="276"/>
      <c r="D13" s="277"/>
      <c r="E13" s="12">
        <v>64</v>
      </c>
      <c r="F13" s="12">
        <v>43.5</v>
      </c>
    </row>
    <row r="14" spans="2:6" ht="15.75">
      <c r="B14" s="282" t="s">
        <v>84</v>
      </c>
      <c r="C14" s="282"/>
      <c r="D14" s="277"/>
      <c r="E14" s="281">
        <f>1/0.5</f>
        <v>2</v>
      </c>
      <c r="F14" s="281">
        <v>1</v>
      </c>
    </row>
    <row r="15" spans="2:6" ht="15.75">
      <c r="B15" s="282"/>
      <c r="C15" s="282"/>
      <c r="D15" s="277"/>
      <c r="E15" s="281"/>
      <c r="F15" s="281"/>
    </row>
    <row r="16" spans="2:6" ht="15.75">
      <c r="B16" s="277" t="s">
        <v>83</v>
      </c>
      <c r="C16" s="277"/>
      <c r="D16" s="277"/>
      <c r="E16" s="12">
        <v>219</v>
      </c>
      <c r="F16" s="12">
        <v>108</v>
      </c>
    </row>
    <row r="17" spans="2:6" ht="15.75">
      <c r="B17" s="277" t="s">
        <v>89</v>
      </c>
      <c r="C17" s="277"/>
      <c r="D17" s="277"/>
      <c r="E17" s="13">
        <f>IF(E16&lt;=89,0.59,IF(E16&lt;=159,0.64,IF(E16&lt;=273,0.79,IF(E16&lt;=426,1.14,"ошибка"))))</f>
        <v>0.79</v>
      </c>
      <c r="F17" s="13">
        <f>IF(F16&lt;=89,0.59,IF(F16&lt;=159,0.64,IF(F16&lt;=273,0.79,IF(F16&lt;=426,1.14,"ошибка"))))</f>
        <v>0.64</v>
      </c>
    </row>
    <row r="18" spans="2:6" ht="15.75">
      <c r="B18" s="277" t="s">
        <v>90</v>
      </c>
      <c r="C18" s="277"/>
      <c r="D18" s="277"/>
      <c r="E18" s="13">
        <f>IF(E16&lt;=89,0.78,IF(E16&lt;=159,1.16,IF(E16&lt;=273,1.48,IF(E16&lt;=426,1.84,"ошибка"))))</f>
        <v>1.48</v>
      </c>
      <c r="F18" s="13">
        <f>IF(F16&lt;=89,0.78,IF(F16&lt;=159,1.16,IF(F16&lt;=273,1.48,IF(F16&lt;=426,1.84,"ошибка"))))</f>
        <v>1.16</v>
      </c>
    </row>
    <row r="19" spans="2:6" ht="15.75">
      <c r="B19" s="277" t="s">
        <v>85</v>
      </c>
      <c r="C19" s="277"/>
      <c r="D19" s="277"/>
      <c r="E19" s="12">
        <v>2.75</v>
      </c>
      <c r="F19" s="12">
        <v>1.7</v>
      </c>
    </row>
    <row r="20" spans="2:6" ht="15.75">
      <c r="B20" s="277" t="s">
        <v>87</v>
      </c>
      <c r="C20" s="277"/>
      <c r="D20" s="277"/>
      <c r="E20" s="14">
        <f>IF(E16&lt;=159,1.4,IF(E16&lt;=273,1.7,IF(E16&lt;=426,2,"ошибка")))</f>
        <v>1.7</v>
      </c>
      <c r="F20" s="14">
        <f>IF(F16&lt;=159,1.4,IF(F16&lt;=273,1.7,IF(F16&lt;=426,2,"ошибка")))</f>
        <v>1.4</v>
      </c>
    </row>
    <row r="21" spans="2:6" ht="15.75">
      <c r="B21" s="277" t="s">
        <v>86</v>
      </c>
      <c r="C21" s="277"/>
      <c r="D21" s="277"/>
      <c r="E21" s="14">
        <f>E20+E19/E14*2</f>
        <v>4.45</v>
      </c>
      <c r="F21" s="14">
        <f>F20+F19/F14*2</f>
        <v>4.8</v>
      </c>
    </row>
    <row r="23" spans="1:9" ht="15.75">
      <c r="A23" s="278" t="s">
        <v>77</v>
      </c>
      <c r="B23" s="278" t="s">
        <v>76</v>
      </c>
      <c r="C23" s="278"/>
      <c r="D23" s="278"/>
      <c r="E23" s="278"/>
      <c r="F23" s="278"/>
      <c r="G23" s="278" t="s">
        <v>75</v>
      </c>
      <c r="H23" s="279" t="s">
        <v>74</v>
      </c>
      <c r="I23" s="279"/>
    </row>
    <row r="24" spans="1:9" ht="15.75">
      <c r="A24" s="278"/>
      <c r="B24" s="278"/>
      <c r="C24" s="278"/>
      <c r="D24" s="278"/>
      <c r="E24" s="278"/>
      <c r="F24" s="278"/>
      <c r="G24" s="278"/>
      <c r="H24" s="278" t="s">
        <v>72</v>
      </c>
      <c r="I24" s="278" t="s">
        <v>73</v>
      </c>
    </row>
    <row r="25" spans="1:9" ht="15.75">
      <c r="A25" s="278"/>
      <c r="B25" s="278"/>
      <c r="C25" s="278"/>
      <c r="D25" s="278"/>
      <c r="E25" s="278"/>
      <c r="F25" s="278"/>
      <c r="G25" s="278"/>
      <c r="H25" s="278"/>
      <c r="I25" s="278"/>
    </row>
    <row r="26" spans="1:9" ht="18.75">
      <c r="A26" s="4">
        <v>1</v>
      </c>
      <c r="B26" s="280" t="s">
        <v>63</v>
      </c>
      <c r="C26" s="280"/>
      <c r="D26" s="280"/>
      <c r="E26" s="280"/>
      <c r="F26" s="280"/>
      <c r="G26" s="4" t="s">
        <v>88</v>
      </c>
      <c r="H26" s="15">
        <f>(E13-E12)*(E20+E21)*E19*0.5</f>
        <v>515.8312500000001</v>
      </c>
      <c r="I26" s="15">
        <f>(F13-F12)*(F20+F21)*F19*0.5</f>
        <v>208.16499999999996</v>
      </c>
    </row>
    <row r="27" spans="1:9" ht="18.75">
      <c r="A27" s="4">
        <v>2</v>
      </c>
      <c r="B27" s="280" t="s">
        <v>64</v>
      </c>
      <c r="C27" s="280"/>
      <c r="D27" s="280"/>
      <c r="E27" s="280"/>
      <c r="F27" s="280"/>
      <c r="G27" s="4" t="s">
        <v>88</v>
      </c>
      <c r="H27" s="15">
        <f>(E12+E11)*(E20+E21)*E19*0.5</f>
        <v>59.19375000000001</v>
      </c>
      <c r="I27" s="15">
        <f>(F12+F11)*(F20+F21)*F19*0.5</f>
        <v>21.08</v>
      </c>
    </row>
    <row r="28" spans="1:9" ht="18.75">
      <c r="A28" s="4">
        <v>3</v>
      </c>
      <c r="B28" s="280" t="s">
        <v>65</v>
      </c>
      <c r="C28" s="280"/>
      <c r="D28" s="280"/>
      <c r="E28" s="280"/>
      <c r="F28" s="280"/>
      <c r="G28" s="4" t="s">
        <v>88</v>
      </c>
      <c r="H28" s="15">
        <f>E13*(E20+E20+0.1/E14*2)*0.1/2</f>
        <v>11.200000000000001</v>
      </c>
      <c r="I28" s="15">
        <f>F13*(F20+F20+0.1/F14*2)*0.1/2</f>
        <v>6.525</v>
      </c>
    </row>
    <row r="29" spans="1:9" ht="18.75">
      <c r="A29" s="4">
        <v>4</v>
      </c>
      <c r="B29" s="280" t="s">
        <v>66</v>
      </c>
      <c r="C29" s="280"/>
      <c r="D29" s="280"/>
      <c r="E29" s="280"/>
      <c r="F29" s="280"/>
      <c r="G29" s="4" t="s">
        <v>88</v>
      </c>
      <c r="H29" s="15">
        <f>H28</f>
        <v>11.200000000000001</v>
      </c>
      <c r="I29" s="15">
        <f>I28</f>
        <v>6.525</v>
      </c>
    </row>
    <row r="30" spans="1:9" ht="18.75">
      <c r="A30" s="4">
        <v>5</v>
      </c>
      <c r="B30" s="280" t="s">
        <v>67</v>
      </c>
      <c r="C30" s="280"/>
      <c r="D30" s="280"/>
      <c r="E30" s="280"/>
      <c r="F30" s="280"/>
      <c r="G30" s="4" t="s">
        <v>88</v>
      </c>
      <c r="H30" s="15">
        <f>((E20+0.1/E14*2)*2+(E17+0.1)/E14*2)*(E17+0.1)/2*(E10+E11)</f>
        <v>53.94735</v>
      </c>
      <c r="I30" s="15">
        <f>((F20+0.1/F14*2)*2+(F17+0.1)/F14*2)*(F17+0.1)/2*(F10+F11)</f>
        <v>45.02159999999999</v>
      </c>
    </row>
    <row r="31" spans="1:9" ht="18.75">
      <c r="A31" s="4">
        <v>6</v>
      </c>
      <c r="B31" s="280" t="s">
        <v>68</v>
      </c>
      <c r="C31" s="280"/>
      <c r="D31" s="280"/>
      <c r="E31" s="280"/>
      <c r="F31" s="280"/>
      <c r="G31" s="4" t="s">
        <v>88</v>
      </c>
      <c r="H31" s="15">
        <f>(((E20+0.1/E14*2)+(E17+0.1)/E14*2)+E21)*(E19-0.1*2-E17)/2*(E10+E11)</f>
        <v>169.6464</v>
      </c>
      <c r="I31" s="15">
        <f>(((F20+0.1/F14*2)+(F17+0.1)/F14*2)+F21)*(F19-0.1*2-F17)/2*(F10+F11)</f>
        <v>88.0984</v>
      </c>
    </row>
    <row r="32" spans="1:9" ht="18.75">
      <c r="A32" s="4">
        <v>7</v>
      </c>
      <c r="B32" s="280" t="s">
        <v>69</v>
      </c>
      <c r="C32" s="280"/>
      <c r="D32" s="280"/>
      <c r="E32" s="280"/>
      <c r="F32" s="280"/>
      <c r="G32" s="4" t="s">
        <v>88</v>
      </c>
      <c r="H32" s="15">
        <f>((E20+0.1/E14*2)*2+(E17+0.1)/E14*2)*(E17+0.1)/2*(E13-E10-E11-E12)</f>
        <v>67.9337</v>
      </c>
      <c r="I32" s="15">
        <f>((F20+0.1/F14*2)*2+(F17+0.1)/F14*2)*(F17+0.1)/2*(F13-F10-F11-F12)</f>
        <v>23.376599999999996</v>
      </c>
    </row>
    <row r="33" spans="1:9" ht="18.75">
      <c r="A33" s="4">
        <v>8</v>
      </c>
      <c r="B33" s="280" t="s">
        <v>70</v>
      </c>
      <c r="C33" s="280"/>
      <c r="D33" s="280"/>
      <c r="E33" s="280"/>
      <c r="F33" s="280"/>
      <c r="G33" s="4" t="s">
        <v>88</v>
      </c>
      <c r="H33" s="15">
        <f>(((E20+0.1/E14*2)+(E17+0.1)/E14*2)+E21)*(E19-0.1*2-E17)/2*(E13-E10-E11-E12)</f>
        <v>213.62879999999998</v>
      </c>
      <c r="I33" s="15">
        <f>(((F20+0.1/F14*2)+(F17+0.1)/F14*2)+F21)*(F19-0.1*2-F17)/2*(F13-F10-F11-F12)</f>
        <v>45.7434</v>
      </c>
    </row>
    <row r="34" spans="1:9" ht="18.75">
      <c r="A34" s="4">
        <v>9</v>
      </c>
      <c r="B34" s="280" t="s">
        <v>71</v>
      </c>
      <c r="C34" s="280"/>
      <c r="D34" s="280"/>
      <c r="E34" s="280"/>
      <c r="F34" s="280"/>
      <c r="G34" s="4" t="s">
        <v>88</v>
      </c>
      <c r="H34" s="15">
        <f>E13*E17*E18</f>
        <v>74.8288</v>
      </c>
      <c r="I34" s="15">
        <f>F13*F17*F18</f>
        <v>32.294399999999996</v>
      </c>
    </row>
    <row r="35" spans="1:9" ht="15.75">
      <c r="A35" s="3">
        <v>10</v>
      </c>
      <c r="B35" s="161"/>
      <c r="C35" s="161"/>
      <c r="D35" s="161"/>
      <c r="E35" s="161"/>
      <c r="F35" s="161"/>
      <c r="G35" s="3"/>
      <c r="H35" s="2"/>
      <c r="I35" s="2"/>
    </row>
    <row r="36" spans="1:9" ht="15.75">
      <c r="A36" s="3">
        <v>11</v>
      </c>
      <c r="B36" s="161"/>
      <c r="C36" s="161"/>
      <c r="D36" s="161"/>
      <c r="E36" s="161"/>
      <c r="F36" s="161"/>
      <c r="G36" s="3"/>
      <c r="H36" s="2"/>
      <c r="I36" s="2"/>
    </row>
    <row r="37" spans="1:9" ht="15.75">
      <c r="A37" s="3">
        <v>12</v>
      </c>
      <c r="B37" s="161"/>
      <c r="C37" s="161"/>
      <c r="D37" s="161"/>
      <c r="E37" s="161"/>
      <c r="F37" s="161"/>
      <c r="G37" s="3"/>
      <c r="H37" s="2"/>
      <c r="I37" s="2"/>
    </row>
    <row r="38" spans="1:9" ht="15.75">
      <c r="A38" s="3">
        <v>13</v>
      </c>
      <c r="B38" s="161"/>
      <c r="C38" s="161"/>
      <c r="D38" s="161"/>
      <c r="E38" s="161"/>
      <c r="F38" s="161"/>
      <c r="G38" s="3"/>
      <c r="H38" s="2"/>
      <c r="I38" s="2"/>
    </row>
  </sheetData>
  <sheetProtection password="CE28" sheet="1" objects="1" scenarios="1"/>
  <mergeCells count="36">
    <mergeCell ref="B28:F28"/>
    <mergeCell ref="B29:F29"/>
    <mergeCell ref="B30:F30"/>
    <mergeCell ref="B31:F31"/>
    <mergeCell ref="A23:A25"/>
    <mergeCell ref="B14:D15"/>
    <mergeCell ref="B20:D20"/>
    <mergeCell ref="B21:D21"/>
    <mergeCell ref="B19:D19"/>
    <mergeCell ref="B18:D18"/>
    <mergeCell ref="B16:D16"/>
    <mergeCell ref="B17:D17"/>
    <mergeCell ref="I24:I25"/>
    <mergeCell ref="H23:I23"/>
    <mergeCell ref="G23:G25"/>
    <mergeCell ref="B23:F25"/>
    <mergeCell ref="E14:E15"/>
    <mergeCell ref="F14:F15"/>
    <mergeCell ref="B38:F38"/>
    <mergeCell ref="H24:H25"/>
    <mergeCell ref="B34:F34"/>
    <mergeCell ref="B35:F35"/>
    <mergeCell ref="B36:F36"/>
    <mergeCell ref="B37:F37"/>
    <mergeCell ref="B32:F32"/>
    <mergeCell ref="B33:F33"/>
    <mergeCell ref="B26:F26"/>
    <mergeCell ref="B27:F27"/>
    <mergeCell ref="B12:D12"/>
    <mergeCell ref="B13:D13"/>
    <mergeCell ref="E7:E8"/>
    <mergeCell ref="F7:F8"/>
    <mergeCell ref="B7:D8"/>
    <mergeCell ref="B11:D11"/>
    <mergeCell ref="B9:D9"/>
    <mergeCell ref="B10:D10"/>
  </mergeCells>
  <printOptions/>
  <pageMargins left="0.75" right="0.75" top="1" bottom="1" header="0.5" footer="0.5"/>
  <pageSetup horizontalDpi="300" verticalDpi="300" orientation="portrait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zoomScalePageLayoutView="0" workbookViewId="0" topLeftCell="A1">
      <selection activeCell="F9" sqref="F9"/>
    </sheetView>
  </sheetViews>
  <sheetFormatPr defaultColWidth="8.00390625" defaultRowHeight="15.75"/>
  <cols>
    <col min="1" max="1" width="19.375" style="48" customWidth="1"/>
    <col min="2" max="2" width="8.00390625" style="48" customWidth="1"/>
    <col min="3" max="3" width="6.75390625" style="48" customWidth="1"/>
    <col min="4" max="4" width="8.00390625" style="48" customWidth="1"/>
    <col min="5" max="5" width="6.75390625" style="48" customWidth="1"/>
    <col min="6" max="8" width="8.00390625" style="48" customWidth="1"/>
    <col min="9" max="9" width="5.75390625" style="48" customWidth="1"/>
    <col min="10" max="16384" width="8.00390625" style="48" customWidth="1"/>
  </cols>
  <sheetData>
    <row r="1" ht="20.25">
      <c r="A1" s="121" t="s">
        <v>370</v>
      </c>
    </row>
    <row r="2" ht="20.25">
      <c r="A2" s="121" t="s">
        <v>371</v>
      </c>
    </row>
    <row r="3" ht="20.25">
      <c r="A3" s="121" t="s">
        <v>373</v>
      </c>
    </row>
    <row r="4" ht="20.25">
      <c r="A4" s="121" t="s">
        <v>372</v>
      </c>
    </row>
    <row r="5" ht="20.25">
      <c r="A5" s="121" t="s">
        <v>407</v>
      </c>
    </row>
    <row r="6" ht="20.25">
      <c r="A6" s="121"/>
    </row>
    <row r="7" spans="1:6" ht="15.75">
      <c r="A7" s="288" t="s">
        <v>202</v>
      </c>
      <c r="B7" s="288"/>
      <c r="C7" s="288"/>
      <c r="D7" s="288"/>
      <c r="E7" s="288"/>
      <c r="F7" s="289"/>
    </row>
    <row r="8" spans="1:11" ht="18.75">
      <c r="A8" s="283" t="s">
        <v>244</v>
      </c>
      <c r="B8" s="284"/>
      <c r="C8" s="284"/>
      <c r="D8" s="284"/>
      <c r="E8" s="284"/>
      <c r="F8" s="49">
        <v>95</v>
      </c>
      <c r="G8" s="50"/>
      <c r="H8" s="50"/>
      <c r="I8" s="50"/>
      <c r="J8" s="50"/>
      <c r="K8" s="51"/>
    </row>
    <row r="9" spans="1:11" ht="18.75">
      <c r="A9" s="283" t="s">
        <v>245</v>
      </c>
      <c r="B9" s="284"/>
      <c r="C9" s="284"/>
      <c r="D9" s="284"/>
      <c r="E9" s="284"/>
      <c r="F9" s="49">
        <v>70</v>
      </c>
      <c r="G9" s="50"/>
      <c r="H9" s="50"/>
      <c r="I9" s="50"/>
      <c r="J9" s="50"/>
      <c r="K9" s="51"/>
    </row>
    <row r="10" spans="1:11" ht="18.75">
      <c r="A10" s="283" t="s">
        <v>246</v>
      </c>
      <c r="B10" s="284"/>
      <c r="C10" s="284"/>
      <c r="D10" s="284"/>
      <c r="E10" s="284"/>
      <c r="F10" s="122">
        <f>(F8+F9)/2</f>
        <v>82.5</v>
      </c>
      <c r="G10" s="50"/>
      <c r="H10" s="50"/>
      <c r="I10" s="50"/>
      <c r="J10" s="50"/>
      <c r="K10" s="51"/>
    </row>
    <row r="11" spans="1:11" ht="18.75">
      <c r="A11" s="283" t="s">
        <v>247</v>
      </c>
      <c r="B11" s="284"/>
      <c r="C11" s="284"/>
      <c r="D11" s="284"/>
      <c r="E11" s="284"/>
      <c r="F11" s="123">
        <f>ROUND(IF(F10&lt;=0,1.79,IF(F10&lt;=10,(1.79-1.3)*(10-F10)/10+1.3,IF(F10&lt;=20,(1.3-1)*(20-F10)/10+1,IF(F10&lt;=30,(1-0.805)*(30-F10)/10+0.805,IF(F10&lt;=40,(0.805-0.659)*(40-F10)/10+0.659,IF(F10&lt;=50,(0.659-0.556)*(50-F10)/10+0.556,IF(F10&lt;=60,(0.556-0.479)*(60-F10)/10+0.479,"")))))))&amp;IF(F10&gt;60,IF(F10&lt;=70,(0.479-0.415)*(70-F10)/10+0.415,IF(F10&lt;=80,(0.415-0.366)*(80-F10)/10+0.366,IF(F10&lt;=90,(0.366-0.326)*(90-F10)/10+0.326,IF(F10&lt;=100,(0.326-0.295)*(100-F10)/10+0.295,IF(F10&lt;=110,(0.295-0.268)*(110-F10)/10+0.268,IF(F10&lt;=120,(0.268-0.244)*(120-F10)/10+0.244,"")))))),"")&amp;IF(F10&gt;120,IF(F10&lt;=130,(0.244-0.226)*(130-F10)/10+0.226,IF(F10&lt;=140,(0.226-0.212)*(140-F10)/10+0.212,IF(F10&lt;=150,(0.212-0.202)*(150-F10)/10+0.202,IF(F10&lt;=160,(0.202-0.19)*(160-F10)/10+0.19,IF(F10&lt;=170,(0.19-0.181)*(170-F10)/10+0.181,IF(F10&lt;=180,(0.181-0.173)*(180-F10)/10+0.173,"")))))),""),3)</f>
        <v>0.356</v>
      </c>
      <c r="G11" s="50"/>
      <c r="H11" s="50"/>
      <c r="I11" s="50"/>
      <c r="J11" s="50"/>
      <c r="K11" s="51"/>
    </row>
    <row r="12" spans="1:11" ht="18.75">
      <c r="A12" s="283" t="s">
        <v>248</v>
      </c>
      <c r="B12" s="284"/>
      <c r="C12" s="284"/>
      <c r="D12" s="284"/>
      <c r="E12" s="284"/>
      <c r="F12" s="124">
        <f>ROUND(1000.3-0.06*F10-0.0036*F10^2,1)</f>
        <v>970.8</v>
      </c>
      <c r="G12" s="50"/>
      <c r="H12" s="50"/>
      <c r="I12" s="50"/>
      <c r="J12" s="50"/>
      <c r="K12" s="51"/>
    </row>
    <row r="13" spans="1:11" ht="17.25">
      <c r="A13" s="285" t="s">
        <v>249</v>
      </c>
      <c r="B13" s="284"/>
      <c r="C13" s="284"/>
      <c r="D13" s="284"/>
      <c r="E13" s="284"/>
      <c r="F13" s="52">
        <v>0.5</v>
      </c>
      <c r="G13" s="50"/>
      <c r="H13" s="50"/>
      <c r="I13" s="50"/>
      <c r="J13" s="50"/>
      <c r="K13" s="51"/>
    </row>
    <row r="14" spans="1:11" ht="15.75">
      <c r="A14" s="53" t="s">
        <v>408</v>
      </c>
      <c r="B14" s="293" t="s">
        <v>329</v>
      </c>
      <c r="C14" s="294"/>
      <c r="D14" s="105"/>
      <c r="E14" s="105"/>
      <c r="F14" s="105"/>
      <c r="G14" s="105"/>
      <c r="H14" s="50"/>
      <c r="I14" s="50"/>
      <c r="J14" s="50"/>
      <c r="K14" s="51"/>
    </row>
    <row r="15" spans="1:11" ht="15.75">
      <c r="A15" s="53"/>
      <c r="B15" s="50"/>
      <c r="C15" s="50"/>
      <c r="D15" s="50"/>
      <c r="E15" s="50"/>
      <c r="F15" s="50"/>
      <c r="G15" s="50"/>
      <c r="H15" s="50"/>
      <c r="I15" s="50"/>
      <c r="J15" s="50"/>
      <c r="K15" s="54"/>
    </row>
    <row r="16" spans="1:12" ht="15.75">
      <c r="A16" s="286" t="s">
        <v>330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</row>
    <row r="17" spans="1:12" ht="15.75" customHeight="1">
      <c r="A17" s="301" t="s">
        <v>203</v>
      </c>
      <c r="B17" s="298" t="s">
        <v>302</v>
      </c>
      <c r="C17" s="296" t="s">
        <v>303</v>
      </c>
      <c r="D17" s="295" t="s">
        <v>204</v>
      </c>
      <c r="E17" s="295"/>
      <c r="F17" s="295" t="s">
        <v>205</v>
      </c>
      <c r="G17" s="295"/>
      <c r="H17" s="295"/>
      <c r="I17" s="296" t="s">
        <v>250</v>
      </c>
      <c r="J17" s="295" t="s">
        <v>206</v>
      </c>
      <c r="K17" s="295"/>
      <c r="L17" s="296" t="s">
        <v>251</v>
      </c>
    </row>
    <row r="18" spans="1:12" ht="109.5" customHeight="1">
      <c r="A18" s="301"/>
      <c r="B18" s="299"/>
      <c r="C18" s="297"/>
      <c r="D18" s="126" t="s">
        <v>252</v>
      </c>
      <c r="E18" s="126" t="s">
        <v>253</v>
      </c>
      <c r="F18" s="126" t="s">
        <v>254</v>
      </c>
      <c r="G18" s="126" t="s">
        <v>255</v>
      </c>
      <c r="H18" s="126" t="s">
        <v>256</v>
      </c>
      <c r="I18" s="300"/>
      <c r="J18" s="126" t="s">
        <v>257</v>
      </c>
      <c r="K18" s="126" t="s">
        <v>258</v>
      </c>
      <c r="L18" s="300"/>
    </row>
    <row r="19" spans="1:12" ht="15.75" customHeight="1">
      <c r="A19" s="290" t="s">
        <v>207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2"/>
    </row>
    <row r="20" spans="1:12" ht="15.75">
      <c r="A20" s="132" t="s">
        <v>304</v>
      </c>
      <c r="B20" s="132">
        <f>B21+B42</f>
        <v>18240</v>
      </c>
      <c r="C20" s="127">
        <f aca="true" t="shared" si="0" ref="C20:C29">IF(B20="","",B20*3600/(4187*($F$8-$F$9)))</f>
        <v>627.3131120133747</v>
      </c>
      <c r="D20" s="132" t="s">
        <v>232</v>
      </c>
      <c r="E20" s="128">
        <f>VLOOKUP(D20,Трубы!$C$6:$E$31,2,FALSE)</f>
        <v>400</v>
      </c>
      <c r="F20" s="133">
        <v>103</v>
      </c>
      <c r="G20" s="127">
        <f>F20*VLOOKUP(E20,КМС!$A$4:$C$27,IF($B$14="сальниковый",2,IF($B$14="П-образный",3,0)),FALSE)</f>
        <v>30.9</v>
      </c>
      <c r="H20" s="127">
        <f aca="true" t="shared" si="1" ref="H20:H26">F20+G20</f>
        <v>133.9</v>
      </c>
      <c r="I20" s="129">
        <f>IF(B20="","",C20*1000/($F$12*3600*3.14*VLOOKUP(D20,Трубы!$C$6:$E$30,3,FALSE)^2)*4*10^6)</f>
        <v>1.3736057933422186</v>
      </c>
      <c r="J20" s="127">
        <f>IF(B20="","",0.11*($F$13/VLOOKUP(D20,Трубы!$C$6:$E$30,3,FALSE)+68/(I20*VLOOKUP(D20,Трубы!$C$6:$E$30,3,FALSE)*1000/$F$11))^0.25*$F$12*I20^2/(2*VLOOKUP(D20,Трубы!$C$6:$E$30,3,FALSE)/1000))</f>
        <v>46.60097644238592</v>
      </c>
      <c r="K20" s="130">
        <f aca="true" t="shared" si="2" ref="K20:K26">J20*H20</f>
        <v>6239.870745635475</v>
      </c>
      <c r="L20" s="129">
        <f>K20/9810</f>
        <v>0.6360724511351147</v>
      </c>
    </row>
    <row r="21" spans="1:12" ht="15.75">
      <c r="A21" s="132" t="s">
        <v>209</v>
      </c>
      <c r="B21" s="132">
        <f>B22+B53</f>
        <v>15731</v>
      </c>
      <c r="C21" s="127">
        <f t="shared" si="0"/>
        <v>541.0231669453069</v>
      </c>
      <c r="D21" s="132" t="s">
        <v>231</v>
      </c>
      <c r="E21" s="128">
        <f>VLOOKUP(D21,Трубы!$C$6:$E$31,2,FALSE)</f>
        <v>350</v>
      </c>
      <c r="F21" s="133">
        <v>68</v>
      </c>
      <c r="G21" s="127">
        <f>F21*VLOOKUP(E21,КМС!$A$4:$C$27,IF($B$14="сальниковый",2,IF($B$14="П-образный",3,0)),FALSE)</f>
        <v>20.4</v>
      </c>
      <c r="H21" s="127">
        <f t="shared" si="1"/>
        <v>88.4</v>
      </c>
      <c r="I21" s="129">
        <f>IF(B21="","",C21*1000/($F$12*3600*3.14*VLOOKUP(D21,Трубы!$C$6:$E$30,3,FALSE)^2)*4*10^6)</f>
        <v>1.5301184079889776</v>
      </c>
      <c r="J21" s="127">
        <f>IF(B21="","",0.11*($F$13/VLOOKUP(D21,Трубы!$C$6:$E$30,3,FALSE)+68/(I21*VLOOKUP(D21,Трубы!$C$6:$E$30,3,FALSE)*1000/$F$11))^0.25*$F$12*I21^2/(2*VLOOKUP(D21,Трубы!$C$6:$E$30,3,FALSE)/1000))</f>
        <v>67.79524438663748</v>
      </c>
      <c r="K21" s="130">
        <f t="shared" si="2"/>
        <v>5993.099603778754</v>
      </c>
      <c r="L21" s="129">
        <f aca="true" t="shared" si="3" ref="L21:L26">K21/9810+L20</f>
        <v>1.2469898419382495</v>
      </c>
    </row>
    <row r="22" spans="1:12" ht="15.75">
      <c r="A22" s="132" t="s">
        <v>210</v>
      </c>
      <c r="B22" s="132">
        <f>B23+B54</f>
        <v>14332</v>
      </c>
      <c r="C22" s="127">
        <f t="shared" si="0"/>
        <v>492.9085263912109</v>
      </c>
      <c r="D22" s="132" t="s">
        <v>231</v>
      </c>
      <c r="E22" s="128">
        <f>VLOOKUP(D22,Трубы!$C$6:$E$31,2,FALSE)</f>
        <v>350</v>
      </c>
      <c r="F22" s="133">
        <v>80</v>
      </c>
      <c r="G22" s="127">
        <f>F22*VLOOKUP(E22,КМС!$A$4:$C$27,IF($B$14="сальниковый",2,IF($B$14="П-образный",3,0)),FALSE)</f>
        <v>24</v>
      </c>
      <c r="H22" s="127">
        <f t="shared" si="1"/>
        <v>104</v>
      </c>
      <c r="I22" s="129">
        <f>IF(B22="","",C22*1000/($F$12*3600*3.14*VLOOKUP(D22,Трубы!$C$6:$E$30,3,FALSE)^2)*4*10^6)</f>
        <v>1.394040876187021</v>
      </c>
      <c r="J22" s="127">
        <f>IF(B22="","",0.11*($F$13/VLOOKUP(D22,Трубы!$C$6:$E$30,3,FALSE)+68/(I22*VLOOKUP(D22,Трубы!$C$6:$E$30,3,FALSE)*1000/$F$11))^0.25*$F$12*I22^2/(2*VLOOKUP(D22,Трубы!$C$6:$E$30,3,FALSE)/1000))</f>
        <v>56.31508536071443</v>
      </c>
      <c r="K22" s="130">
        <f t="shared" si="2"/>
        <v>5856.768877514301</v>
      </c>
      <c r="L22" s="129">
        <f t="shared" si="3"/>
        <v>1.844010114875487</v>
      </c>
    </row>
    <row r="23" spans="1:12" ht="15.75">
      <c r="A23" s="132" t="s">
        <v>305</v>
      </c>
      <c r="B23" s="132">
        <f>B24+B32</f>
        <v>13337</v>
      </c>
      <c r="C23" s="127">
        <f t="shared" si="0"/>
        <v>458.6883209935515</v>
      </c>
      <c r="D23" s="132" t="s">
        <v>231</v>
      </c>
      <c r="E23" s="128">
        <f>VLOOKUP(D23,Трубы!$C$6:$E$31,2,FALSE)</f>
        <v>350</v>
      </c>
      <c r="F23" s="133">
        <v>45</v>
      </c>
      <c r="G23" s="127">
        <f>F23*VLOOKUP(E23,КМС!$A$4:$C$27,IF($B$14="сальниковый",2,IF($B$14="П-образный",3,0)),FALSE)</f>
        <v>13.5</v>
      </c>
      <c r="H23" s="127">
        <f t="shared" si="1"/>
        <v>58.5</v>
      </c>
      <c r="I23" s="129">
        <f>IF(B23="","",C23*1000/($F$12*3600*3.14*VLOOKUP(D23,Трубы!$C$6:$E$30,3,FALSE)^2)*4*10^6)</f>
        <v>1.2972595008167944</v>
      </c>
      <c r="J23" s="127">
        <f>IF(B23="","",0.11*($F$13/VLOOKUP(D23,Трубы!$C$6:$E$30,3,FALSE)+68/(I23*VLOOKUP(D23,Трубы!$C$6:$E$30,3,FALSE)*1000/$F$11))^0.25*$F$12*I23^2/(2*VLOOKUP(D23,Трубы!$C$6:$E$30,3,FALSE)/1000))</f>
        <v>48.79765913644193</v>
      </c>
      <c r="K23" s="130">
        <f t="shared" si="2"/>
        <v>2854.663059481853</v>
      </c>
      <c r="L23" s="129">
        <f t="shared" si="3"/>
        <v>2.135005329909315</v>
      </c>
    </row>
    <row r="24" spans="1:12" ht="15.75">
      <c r="A24" s="132" t="s">
        <v>306</v>
      </c>
      <c r="B24" s="132">
        <f>B25+B50</f>
        <v>6636</v>
      </c>
      <c r="C24" s="127">
        <f t="shared" si="0"/>
        <v>228.22641509433961</v>
      </c>
      <c r="D24" s="132" t="s">
        <v>229</v>
      </c>
      <c r="E24" s="128">
        <f>VLOOKUP(D24,Трубы!$C$6:$E$31,2,FALSE)</f>
        <v>250</v>
      </c>
      <c r="F24" s="133">
        <v>86</v>
      </c>
      <c r="G24" s="127">
        <f>F24*VLOOKUP(E24,КМС!$A$4:$C$27,IF($B$14="сальниковый",2,IF($B$14="П-образный",3,0)),FALSE)</f>
        <v>25.8</v>
      </c>
      <c r="H24" s="127">
        <f t="shared" si="1"/>
        <v>111.8</v>
      </c>
      <c r="I24" s="129">
        <f>IF(B24="","",C24*1000/($F$12*3600*3.14*VLOOKUP(D24,Трубы!$C$6:$E$30,3,FALSE)^2)*4*10^6)</f>
        <v>1.2401221233221802</v>
      </c>
      <c r="J24" s="127">
        <f>IF(B24="","",0.11*($F$13/VLOOKUP(D24,Трубы!$C$6:$E$30,3,FALSE)+68/(I24*VLOOKUP(D24,Трубы!$C$6:$E$30,3,FALSE)*1000/$F$11))^0.25*$F$12*I24^2/(2*VLOOKUP(D24,Трубы!$C$6:$E$30,3,FALSE)/1000))</f>
        <v>67.09611399311922</v>
      </c>
      <c r="K24" s="130">
        <f t="shared" si="2"/>
        <v>7501.345544430728</v>
      </c>
      <c r="L24" s="129">
        <f t="shared" si="3"/>
        <v>2.8996684842855363</v>
      </c>
    </row>
    <row r="25" spans="1:12" ht="15.75">
      <c r="A25" s="132" t="s">
        <v>307</v>
      </c>
      <c r="B25" s="132">
        <f>B26+B46</f>
        <v>5637</v>
      </c>
      <c r="C25" s="127">
        <f t="shared" si="0"/>
        <v>193.86864103176498</v>
      </c>
      <c r="D25" s="132" t="s">
        <v>229</v>
      </c>
      <c r="E25" s="128">
        <f>VLOOKUP(D25,Трубы!$C$6:$E$31,2,FALSE)</f>
        <v>250</v>
      </c>
      <c r="F25" s="133">
        <v>83</v>
      </c>
      <c r="G25" s="127">
        <f>F25*VLOOKUP(E25,КМС!$A$4:$C$27,IF($B$14="сальниковый",2,IF($B$14="П-образный",3,0)),FALSE)</f>
        <v>24.9</v>
      </c>
      <c r="H25" s="127">
        <f t="shared" si="1"/>
        <v>107.9</v>
      </c>
      <c r="I25" s="129">
        <f>IF(B25="","",C25*1000/($F$12*3600*3.14*VLOOKUP(D25,Трубы!$C$6:$E$30,3,FALSE)^2)*4*10^6)</f>
        <v>1.0534310441782895</v>
      </c>
      <c r="J25" s="127">
        <f>IF(B25="","",0.11*($F$13/VLOOKUP(D25,Трубы!$C$6:$E$30,3,FALSE)+68/(I25*VLOOKUP(D25,Трубы!$C$6:$E$30,3,FALSE)*1000/$F$11))^0.25*$F$12*I25^2/(2*VLOOKUP(D25,Трубы!$C$6:$E$30,3,FALSE)/1000))</f>
        <v>48.49548176667133</v>
      </c>
      <c r="K25" s="130">
        <f t="shared" si="2"/>
        <v>5232.662482623837</v>
      </c>
      <c r="L25" s="129">
        <f t="shared" si="3"/>
        <v>3.433069348977059</v>
      </c>
    </row>
    <row r="26" spans="1:12" ht="15.75">
      <c r="A26" s="132" t="s">
        <v>308</v>
      </c>
      <c r="B26" s="132">
        <f>B27+B47</f>
        <v>4035</v>
      </c>
      <c r="C26" s="127">
        <f t="shared" si="0"/>
        <v>138.77239073322187</v>
      </c>
      <c r="D26" s="132" t="s">
        <v>229</v>
      </c>
      <c r="E26" s="128">
        <f>VLOOKUP(D26,Трубы!$C$6:$E$31,2,FALSE)</f>
        <v>250</v>
      </c>
      <c r="F26" s="133">
        <v>167</v>
      </c>
      <c r="G26" s="127">
        <f>F26*VLOOKUP(E26,КМС!$A$4:$C$27,IF($B$14="сальниковый",2,IF($B$14="П-образный",3,0)),FALSE)</f>
        <v>50.1</v>
      </c>
      <c r="H26" s="127">
        <f t="shared" si="1"/>
        <v>217.1</v>
      </c>
      <c r="I26" s="129">
        <f>IF(B26="","",C26*1000/($F$12*3600*3.14*VLOOKUP(D26,Трубы!$C$6:$E$30,3,FALSE)^2)*4*10^6)</f>
        <v>0.754052556902501</v>
      </c>
      <c r="J26" s="127">
        <f>IF(B26="","",0.11*($F$13/VLOOKUP(D26,Трубы!$C$6:$E$30,3,FALSE)+68/(I26*VLOOKUP(D26,Трубы!$C$6:$E$30,3,FALSE)*1000/$F$11))^0.25*$F$12*I26^2/(2*VLOOKUP(D26,Трубы!$C$6:$E$30,3,FALSE)/1000))</f>
        <v>24.955719116133515</v>
      </c>
      <c r="K26" s="130">
        <f t="shared" si="2"/>
        <v>5417.886620112586</v>
      </c>
      <c r="L26" s="129">
        <f t="shared" si="3"/>
        <v>3.9853513693758953</v>
      </c>
    </row>
    <row r="27" spans="1:12" ht="15.75">
      <c r="A27" s="132" t="s">
        <v>309</v>
      </c>
      <c r="B27" s="132">
        <f>B28+B48</f>
        <v>2726</v>
      </c>
      <c r="C27" s="127">
        <f t="shared" si="0"/>
        <v>93.75304513971818</v>
      </c>
      <c r="D27" s="132" t="s">
        <v>228</v>
      </c>
      <c r="E27" s="128">
        <f>VLOOKUP(D27,Трубы!$C$6:$E$31,2,FALSE)</f>
        <v>200</v>
      </c>
      <c r="F27" s="133">
        <v>159</v>
      </c>
      <c r="G27" s="127">
        <f>F27*VLOOKUP(E27,КМС!$A$4:$C$27,IF($B$14="сальниковый",2,IF($B$14="П-образный",3,0)),FALSE)</f>
        <v>47.699999999999996</v>
      </c>
      <c r="H27" s="127">
        <f>F27+G27</f>
        <v>206.7</v>
      </c>
      <c r="I27" s="129">
        <f>IF(B27="","",C27*1000/($F$12*3600*3.14*VLOOKUP(D27,Трубы!$C$6:$E$30,3,FALSE)^2)*4*10^6)</f>
        <v>0.7975221735637925</v>
      </c>
      <c r="J27" s="127">
        <f>IF(B27="","",0.11*($F$13/VLOOKUP(D27,Трубы!$C$6:$E$30,3,FALSE)+68/(I27*VLOOKUP(D27,Трубы!$C$6:$E$30,3,FALSE)*1000/$F$11))^0.25*$F$12*I27^2/(2*VLOOKUP(D27,Трубы!$C$6:$E$30,3,FALSE)/1000))</f>
        <v>36.91106055275374</v>
      </c>
      <c r="K27" s="130">
        <f>J27*H27</f>
        <v>7629.516216254197</v>
      </c>
      <c r="L27" s="129">
        <f>K27/9810+L26</f>
        <v>4.763079831787128</v>
      </c>
    </row>
    <row r="28" spans="1:12" ht="15.75">
      <c r="A28" s="132" t="s">
        <v>310</v>
      </c>
      <c r="B28" s="132">
        <f>172+357.5+648</f>
        <v>1177.5</v>
      </c>
      <c r="C28" s="127">
        <f t="shared" si="0"/>
        <v>40.49677573441605</v>
      </c>
      <c r="D28" s="132" t="s">
        <v>226</v>
      </c>
      <c r="E28" s="128">
        <f>VLOOKUP(D28,Трубы!$C$6:$E$31,2,FALSE)</f>
        <v>150</v>
      </c>
      <c r="F28" s="133">
        <f>69+59+21</f>
        <v>149</v>
      </c>
      <c r="G28" s="127">
        <f>F28*VLOOKUP(E28,КМС!$A$4:$C$27,IF($B$14="сальниковый",2,IF($B$14="П-образный",3,0)),FALSE)</f>
        <v>44.699999999999996</v>
      </c>
      <c r="H28" s="127">
        <f>F28+G28</f>
        <v>193.7</v>
      </c>
      <c r="I28" s="129">
        <f>IF(B28="","",C28*1000/($F$12*3600*3.14*VLOOKUP(D28,Трубы!$C$6:$E$30,3,FALSE)^2)*4*10^6)</f>
        <v>0.6560485859085946</v>
      </c>
      <c r="J28" s="127">
        <f>IF(B28="","",0.11*($F$13/VLOOKUP(D28,Трубы!$C$6:$E$30,3,FALSE)+68/(I28*VLOOKUP(D28,Трубы!$C$6:$E$30,3,FALSE)*1000/$F$11))^0.25*$F$12*I28^2/(2*VLOOKUP(D28,Трубы!$C$6:$E$30,3,FALSE)/1000))</f>
        <v>37.4734503448802</v>
      </c>
      <c r="K28" s="130">
        <f>J28*H28</f>
        <v>7258.607331803294</v>
      </c>
      <c r="L28" s="129">
        <f>K28/9810+L27</f>
        <v>5.502999029728341</v>
      </c>
    </row>
    <row r="29" spans="1:13" ht="15.75">
      <c r="A29" s="132" t="s">
        <v>331</v>
      </c>
      <c r="B29" s="132">
        <f>B28</f>
        <v>1177.5</v>
      </c>
      <c r="C29" s="127">
        <f t="shared" si="0"/>
        <v>40.49677573441605</v>
      </c>
      <c r="D29" s="132" t="s">
        <v>226</v>
      </c>
      <c r="E29" s="128">
        <f>VLOOKUP(D29,Трубы!$C$6:$E$31,2,FALSE)</f>
        <v>150</v>
      </c>
      <c r="F29" s="133">
        <f>12.5+55</f>
        <v>67.5</v>
      </c>
      <c r="G29" s="127">
        <f>F29*VLOOKUP(E29,КМС!$A$4:$C$27,IF($B$14="сальниковый",2,IF($B$14="П-образный",3,0)),FALSE)</f>
        <v>20.25</v>
      </c>
      <c r="H29" s="127">
        <f>F29+G29</f>
        <v>87.75</v>
      </c>
      <c r="I29" s="129">
        <f>IF(B29="","",C29*1000/($F$12*3600*3.14*VLOOKUP(D29,Трубы!$C$6:$E$30,3,FALSE)^2)*4*10^6)</f>
        <v>0.6560485859085946</v>
      </c>
      <c r="J29" s="127">
        <f>IF(B29="","",0.11*($F$13/VLOOKUP(D29,Трубы!$C$6:$E$30,3,FALSE)+68/(I29*VLOOKUP(D29,Трубы!$C$6:$E$30,3,FALSE)*1000/$F$11))^0.25*$F$12*I29^2/(2*VLOOKUP(D29,Трубы!$C$6:$E$30,3,FALSE)/1000))</f>
        <v>37.4734503448802</v>
      </c>
      <c r="K29" s="130">
        <f>J29*H29</f>
        <v>3288.2952677632375</v>
      </c>
      <c r="L29" s="129">
        <f>K29/9810+L28</f>
        <v>5.838197324097682</v>
      </c>
      <c r="M29" s="106"/>
    </row>
    <row r="30" spans="1:12" ht="15.75">
      <c r="A30" s="132" t="s">
        <v>213</v>
      </c>
      <c r="B30" s="132"/>
      <c r="C30" s="125"/>
      <c r="D30" s="125"/>
      <c r="E30" s="125"/>
      <c r="F30" s="125"/>
      <c r="G30" s="131"/>
      <c r="H30" s="131"/>
      <c r="I30" s="131"/>
      <c r="J30" s="131"/>
      <c r="K30" s="131"/>
      <c r="L30" s="129">
        <f>L29*2</f>
        <v>11.676394648195364</v>
      </c>
    </row>
    <row r="31" spans="1:12" ht="15.75">
      <c r="A31" s="290" t="s">
        <v>319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2"/>
    </row>
    <row r="32" spans="1:12" ht="15.75">
      <c r="A32" s="132" t="s">
        <v>311</v>
      </c>
      <c r="B32" s="132">
        <f>B33+B55</f>
        <v>6701</v>
      </c>
      <c r="C32" s="127">
        <f aca="true" t="shared" si="4" ref="C32:C37">IF(B32="","",B32*3600/(4187*($F$8-$F$9)))</f>
        <v>230.46190589921184</v>
      </c>
      <c r="D32" s="132" t="s">
        <v>229</v>
      </c>
      <c r="E32" s="128">
        <f>VLOOKUP(D32,Трубы!$C$6:$E$31,2,FALSE)</f>
        <v>250</v>
      </c>
      <c r="F32" s="133">
        <v>74</v>
      </c>
      <c r="G32" s="127">
        <f>F32*VLOOKUP(E32,КМС!$A$4:$C$27,IF($B$14="сальниковый",2,IF($B$14="П-образный",3,0)),FALSE)</f>
        <v>22.2</v>
      </c>
      <c r="H32" s="127">
        <f aca="true" t="shared" si="5" ref="H32:H37">F32+G32</f>
        <v>96.2</v>
      </c>
      <c r="I32" s="129">
        <f>IF(B32="","",C32*1000/($F$12*3600*3.14*VLOOKUP(D32,Трубы!$C$6:$E$31,3,FALSE)^2)*4*10^6)</f>
        <v>1.2522691905337446</v>
      </c>
      <c r="J32" s="127">
        <f>IF(B32="","",0.11*($F$13/VLOOKUP(D32,Трубы!$C$6:$E$31,3,FALSE)+68/(I32*VLOOKUP(D32,Трубы!$C$6:$E$31,3,FALSE)*1000/$F$11))^0.25*$F$12*I32^2/(2*VLOOKUP(D32,Трубы!$C$6:$E$31,3,FALSE)/1000))</f>
        <v>68.41073707571395</v>
      </c>
      <c r="K32" s="130">
        <f aca="true" t="shared" si="6" ref="K32:K37">J32*H32</f>
        <v>6581.112906683683</v>
      </c>
      <c r="L32" s="129">
        <f>K32/9810+L23</f>
        <v>2.8058629146884875</v>
      </c>
    </row>
    <row r="33" spans="1:12" ht="15.75">
      <c r="A33" s="132" t="s">
        <v>312</v>
      </c>
      <c r="B33" s="132">
        <f>B34+B49</f>
        <v>6169</v>
      </c>
      <c r="C33" s="127">
        <f t="shared" si="4"/>
        <v>212.1652734654884</v>
      </c>
      <c r="D33" s="132" t="s">
        <v>229</v>
      </c>
      <c r="E33" s="128">
        <f>VLOOKUP(D33,Трубы!$C$6:$E$31,2,FALSE)</f>
        <v>250</v>
      </c>
      <c r="F33" s="133">
        <v>55</v>
      </c>
      <c r="G33" s="127">
        <f>F33*VLOOKUP(E33,КМС!$A$4:$C$27,IF($B$14="сальниковый",2,IF($B$14="П-образный",3,0)),FALSE)</f>
        <v>16.5</v>
      </c>
      <c r="H33" s="127">
        <f t="shared" si="5"/>
        <v>71.5</v>
      </c>
      <c r="I33" s="129">
        <f>IF(B33="","",C33*1000/($F$12*3600*3.14*VLOOKUP(D33,Трубы!$C$6:$E$31,3,FALSE)^2)*4*10^6)</f>
        <v>1.152850117356017</v>
      </c>
      <c r="J33" s="127">
        <f>IF(B33="","",0.11*($F$13/VLOOKUP(D33,Трубы!$C$6:$E$31,3,FALSE)+68/(I33*VLOOKUP(D33,Трубы!$C$6:$E$31,3,FALSE)*1000/$F$11))^0.25*$F$12*I33^2/(2*VLOOKUP(D33,Трубы!$C$6:$E$31,3,FALSE)/1000))</f>
        <v>58.02598805121572</v>
      </c>
      <c r="K33" s="130">
        <f t="shared" si="6"/>
        <v>4148.858145661924</v>
      </c>
      <c r="L33" s="129">
        <f>K33/9810+L32</f>
        <v>3.2287842343278275</v>
      </c>
    </row>
    <row r="34" spans="1:12" ht="15.75">
      <c r="A34" s="132" t="s">
        <v>316</v>
      </c>
      <c r="B34" s="132">
        <f>B35+B39</f>
        <v>4931</v>
      </c>
      <c r="C34" s="127">
        <f t="shared" si="4"/>
        <v>169.58777167422977</v>
      </c>
      <c r="D34" s="132" t="s">
        <v>229</v>
      </c>
      <c r="E34" s="128">
        <f>VLOOKUP(D34,Трубы!$C$6:$E$31,2,FALSE)</f>
        <v>250</v>
      </c>
      <c r="F34" s="133">
        <v>62</v>
      </c>
      <c r="G34" s="127">
        <f>F34*VLOOKUP(E34,КМС!$A$4:$C$27,IF($B$14="сальниковый",2,IF($B$14="П-образный",3,0)),FALSE)</f>
        <v>18.599999999999998</v>
      </c>
      <c r="H34" s="127">
        <f t="shared" si="5"/>
        <v>80.6</v>
      </c>
      <c r="I34" s="129">
        <f>IF(B34="","",C34*1000/($F$12*3600*3.14*VLOOKUP(D34,Трубы!$C$6:$E$31,3,FALSE)^2)*4*10^6)</f>
        <v>0.9214952064649895</v>
      </c>
      <c r="J34" s="127">
        <f>IF(B34="","",0.11*($F$13/VLOOKUP(D34,Трубы!$C$6:$E$31,3,FALSE)+68/(I34*VLOOKUP(D34,Трубы!$C$6:$E$31,3,FALSE)*1000/$F$11))^0.25*$F$12*I34^2/(2*VLOOKUP(D34,Трубы!$C$6:$E$31,3,FALSE)/1000))</f>
        <v>37.16688279677694</v>
      </c>
      <c r="K34" s="130">
        <f t="shared" si="6"/>
        <v>2995.650753420221</v>
      </c>
      <c r="L34" s="129">
        <f>K34/9810+L33</f>
        <v>3.5341512836061373</v>
      </c>
    </row>
    <row r="35" spans="1:12" ht="15.75">
      <c r="A35" s="132" t="s">
        <v>317</v>
      </c>
      <c r="B35" s="132">
        <f>B36+B51</f>
        <v>3243</v>
      </c>
      <c r="C35" s="127">
        <f t="shared" si="4"/>
        <v>111.53379508000955</v>
      </c>
      <c r="D35" s="132" t="s">
        <v>228</v>
      </c>
      <c r="E35" s="128">
        <f>VLOOKUP(D35,Трубы!$C$6:$E$31,2,FALSE)</f>
        <v>200</v>
      </c>
      <c r="F35" s="133">
        <v>54</v>
      </c>
      <c r="G35" s="127">
        <f>F35*VLOOKUP(E35,КМС!$A$4:$C$27,IF($B$14="сальниковый",2,IF($B$14="П-образный",3,0)),FALSE)</f>
        <v>16.2</v>
      </c>
      <c r="H35" s="127">
        <f t="shared" si="5"/>
        <v>70.2</v>
      </c>
      <c r="I35" s="129">
        <f>IF(B35="","",C35*1000/($F$12*3600*3.14*VLOOKUP(D35,Трубы!$C$6:$E$31,3,FALSE)^2)*4*10^6)</f>
        <v>0.9487763788948567</v>
      </c>
      <c r="J35" s="127">
        <f>IF(B35="","",0.11*($F$13/VLOOKUP(D35,Трубы!$C$6:$E$31,3,FALSE)+68/(I35*VLOOKUP(D35,Трубы!$C$6:$E$31,3,FALSE)*1000/$F$11))^0.25*$F$12*I35^2/(2*VLOOKUP(D35,Трубы!$C$6:$E$31,3,FALSE)/1000))</f>
        <v>52.11989423352178</v>
      </c>
      <c r="K35" s="130">
        <f t="shared" si="6"/>
        <v>3658.816575193229</v>
      </c>
      <c r="L35" s="129">
        <f>K35/9810+L34</f>
        <v>3.90711933408455</v>
      </c>
    </row>
    <row r="36" spans="1:12" ht="15.75">
      <c r="A36" s="132" t="s">
        <v>315</v>
      </c>
      <c r="B36" s="132">
        <f>1496+146</f>
        <v>1642</v>
      </c>
      <c r="C36" s="127">
        <f t="shared" si="4"/>
        <v>56.47193694769525</v>
      </c>
      <c r="D36" s="132" t="s">
        <v>226</v>
      </c>
      <c r="E36" s="128">
        <f>VLOOKUP(D36,Трубы!$C$6:$E$31,2,FALSE)</f>
        <v>150</v>
      </c>
      <c r="F36" s="133">
        <v>32</v>
      </c>
      <c r="G36" s="127">
        <f>F36*VLOOKUP(E36,КМС!$A$4:$C$27,IF($B$14="сальниковый",2,IF($B$14="П-образный",3,0)),FALSE)</f>
        <v>9.6</v>
      </c>
      <c r="H36" s="127">
        <f t="shared" si="5"/>
        <v>41.6</v>
      </c>
      <c r="I36" s="129">
        <f>IF(B36="","",C36*1000/($F$12*3600*3.14*VLOOKUP(D36,Трубы!$C$6:$E$31,3,FALSE)^2)*4*10^6)</f>
        <v>0.9148465206470593</v>
      </c>
      <c r="J36" s="127">
        <f>IF(B36="","",0.11*($F$13/VLOOKUP(D36,Трубы!$C$6:$E$31,3,FALSE)+68/(I36*VLOOKUP(D36,Трубы!$C$6:$E$31,3,FALSE)*1000/$F$11))^0.25*$F$12*I36^2/(2*VLOOKUP(D36,Трубы!$C$6:$E$31,3,FALSE)/1000))</f>
        <v>72.51309988912588</v>
      </c>
      <c r="K36" s="130">
        <f t="shared" si="6"/>
        <v>3016.544955387637</v>
      </c>
      <c r="L36" s="129">
        <f>K36/9810+L35</f>
        <v>4.214616271432933</v>
      </c>
    </row>
    <row r="37" spans="1:12" ht="15.75">
      <c r="A37" s="132" t="s">
        <v>331</v>
      </c>
      <c r="B37" s="132">
        <f>B51</f>
        <v>1601</v>
      </c>
      <c r="C37" s="127">
        <f t="shared" si="4"/>
        <v>55.061858132314306</v>
      </c>
      <c r="D37" s="132" t="s">
        <v>226</v>
      </c>
      <c r="E37" s="128">
        <f>VLOOKUP(D37,Трубы!$C$6:$E$31,2,FALSE)</f>
        <v>150</v>
      </c>
      <c r="F37" s="133">
        <f>40+92</f>
        <v>132</v>
      </c>
      <c r="G37" s="127">
        <f>F37*VLOOKUP(E37,КМС!$A$4:$C$27,IF($B$14="сальниковый",2,IF($B$14="П-образный",3,0)),FALSE)</f>
        <v>39.6</v>
      </c>
      <c r="H37" s="127">
        <f t="shared" si="5"/>
        <v>171.6</v>
      </c>
      <c r="I37" s="129">
        <f>IF(B37="","",C37*1000/($F$12*3600*3.14*VLOOKUP(D37,Трубы!$C$6:$E$31,3,FALSE)^2)*4*10^6)</f>
        <v>0.8920032153203057</v>
      </c>
      <c r="J37" s="127">
        <f>IF(B37="","",0.11*($F$13/VLOOKUP(D37,Трубы!$C$6:$E$31,3,FALSE)+68/(I37*VLOOKUP(D37,Трубы!$C$6:$E$31,3,FALSE)*1000/$F$11))^0.25*$F$12*I37^2/(2*VLOOKUP(D37,Трубы!$C$6:$E$31,3,FALSE)/1000))</f>
        <v>68.95924416738544</v>
      </c>
      <c r="K37" s="130">
        <f t="shared" si="6"/>
        <v>11833.40629912334</v>
      </c>
      <c r="L37" s="129">
        <f>K37/9810+L36</f>
        <v>5.420875833015333</v>
      </c>
    </row>
    <row r="38" spans="1:12" ht="15.75">
      <c r="A38" s="290" t="s">
        <v>320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2"/>
    </row>
    <row r="39" spans="1:12" ht="15.75">
      <c r="A39" s="132" t="s">
        <v>318</v>
      </c>
      <c r="B39" s="132">
        <f>B40+B56</f>
        <v>1688</v>
      </c>
      <c r="C39" s="127">
        <f>IF(B39="","",B39*3600/(4187*($F$8-$F$9)))</f>
        <v>58.0539765942202</v>
      </c>
      <c r="D39" s="132" t="s">
        <v>226</v>
      </c>
      <c r="E39" s="128">
        <f>VLOOKUP(D39,Трубы!$C$6:$E$31,2,FALSE)</f>
        <v>150</v>
      </c>
      <c r="F39" s="133">
        <v>87</v>
      </c>
      <c r="G39" s="127">
        <f>F39*VLOOKUP(E39,КМС!$A$4:$C$27,IF($B$14="сальниковый",2,IF($B$14="П-образный",3,0)),FALSE)</f>
        <v>26.099999999999998</v>
      </c>
      <c r="H39" s="127">
        <f>F39+G39</f>
        <v>113.1</v>
      </c>
      <c r="I39" s="129">
        <f>IF(B39="","",C39*1000/($F$12*3600*3.14*VLOOKUP(D39,Трубы!$C$6:$E$31,3,FALSE)^2)*4*10^6)</f>
        <v>0.9404755949160998</v>
      </c>
      <c r="J39" s="127">
        <f>IF(B39="","",0.11*($F$13/VLOOKUP(D39,Трубы!$C$6:$E$31,3,FALSE)+68/(I39*VLOOKUP(D39,Трубы!$C$6:$E$31,3,FALSE)*1000/$F$11))^0.25*$F$12*I39^2/(2*VLOOKUP(D39,Трубы!$C$6:$E$31,3,FALSE)/1000))</f>
        <v>76.6066081214087</v>
      </c>
      <c r="K39" s="130">
        <f>J39*H39</f>
        <v>8664.207378531324</v>
      </c>
      <c r="L39" s="129">
        <f>K39/9810+L34</f>
        <v>4.417352851244397</v>
      </c>
    </row>
    <row r="40" spans="1:12" ht="15.75">
      <c r="A40" s="132" t="s">
        <v>313</v>
      </c>
      <c r="B40" s="132">
        <v>1327</v>
      </c>
      <c r="C40" s="127">
        <f>IF(B40="","",B40*3600/(4187*($F$8-$F$9)))</f>
        <v>45.63840458562216</v>
      </c>
      <c r="D40" s="132" t="s">
        <v>226</v>
      </c>
      <c r="E40" s="128">
        <f>VLOOKUP(D40,Трубы!$C$6:$E$31,2,FALSE)</f>
        <v>150</v>
      </c>
      <c r="F40" s="133">
        <v>39</v>
      </c>
      <c r="G40" s="127">
        <f>F40*VLOOKUP(E40,КМС!$A$4:$C$27,IF($B$14="сальниковый",2,IF($B$14="П-образный",3,0)),FALSE)</f>
        <v>11.7</v>
      </c>
      <c r="H40" s="127">
        <f>F40+G40</f>
        <v>50.7</v>
      </c>
      <c r="I40" s="129">
        <f>IF(B40="","",C40*1000/($F$12*3600*3.14*VLOOKUP(D40,Трубы!$C$6:$E$31,3,FALSE)^2)*4*10^6)</f>
        <v>0.7393430772829765</v>
      </c>
      <c r="J40" s="127">
        <f>IF(B40="","",0.11*($F$13/VLOOKUP(D40,Трубы!$C$6:$E$31,3,FALSE)+68/(I40*VLOOKUP(D40,Трубы!$C$6:$E$31,3,FALSE)*1000/$F$11))^0.25*$F$12*I40^2/(2*VLOOKUP(D40,Трубы!$C$6:$E$31,3,FALSE)/1000))</f>
        <v>47.50067239810638</v>
      </c>
      <c r="K40" s="130">
        <f>J40*H40</f>
        <v>2408.2840905839935</v>
      </c>
      <c r="L40" s="129">
        <f>K40/9810+L39</f>
        <v>4.662845622965497</v>
      </c>
    </row>
    <row r="41" spans="1:12" ht="15.75">
      <c r="A41" s="290" t="s">
        <v>322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2"/>
    </row>
    <row r="42" spans="1:12" ht="15.75">
      <c r="A42" s="132" t="s">
        <v>323</v>
      </c>
      <c r="B42" s="132">
        <f>B43+B52</f>
        <v>2509</v>
      </c>
      <c r="C42" s="127">
        <f>IF(B42="","",B42*3600/(4187*($F$8-$F$9)))</f>
        <v>86.28994506806782</v>
      </c>
      <c r="D42" s="132" t="s">
        <v>228</v>
      </c>
      <c r="E42" s="128">
        <f>VLOOKUP(D42,Трубы!$C$6:$E$31,2,FALSE)</f>
        <v>200</v>
      </c>
      <c r="F42" s="133">
        <v>82</v>
      </c>
      <c r="G42" s="127">
        <f>F42*VLOOKUP(E42,КМС!$A$4:$C$27,IF($B$14="сальниковый",2,IF($B$14="П-образный",3,0)),FALSE)</f>
        <v>24.599999999999998</v>
      </c>
      <c r="H42" s="127">
        <f>F42+G42</f>
        <v>106.6</v>
      </c>
      <c r="I42" s="129">
        <f>IF(B42="","",C42*1000/($F$12*3600*3.14*VLOOKUP(D42,Трубы!$C$6:$E$31,3,FALSE)^2)*4*10^6)</f>
        <v>0.7340363659103285</v>
      </c>
      <c r="J42" s="127">
        <f>IF(B42="","",0.11*($F$13/VLOOKUP(D42,Трубы!$C$6:$E$31,3,FALSE)+68/(I42*VLOOKUP(D42,Трубы!$C$6:$E$31,3,FALSE)*1000/$F$11))^0.25*$F$12*I42^2/(2*VLOOKUP(D42,Трубы!$C$6:$E$31,3,FALSE)/1000))</f>
        <v>31.307058314292817</v>
      </c>
      <c r="K42" s="130">
        <f>J42*H42</f>
        <v>3337.332416303614</v>
      </c>
      <c r="L42" s="129">
        <f>K42/9810+L20</f>
        <v>0.976269435467797</v>
      </c>
    </row>
    <row r="43" spans="1:12" ht="15.75">
      <c r="A43" s="132" t="s">
        <v>297</v>
      </c>
      <c r="B43" s="132">
        <f>1496+99</f>
        <v>1595</v>
      </c>
      <c r="C43" s="127">
        <f>IF(B43="","",B43*3600/(4187*($F$8-$F$9)))</f>
        <v>54.85550513494149</v>
      </c>
      <c r="D43" s="132" t="s">
        <v>228</v>
      </c>
      <c r="E43" s="128">
        <f>VLOOKUP(D43,Трубы!$C$6:$E$31,2,FALSE)</f>
        <v>200</v>
      </c>
      <c r="F43" s="133">
        <f>121+16</f>
        <v>137</v>
      </c>
      <c r="G43" s="127">
        <f>F43*VLOOKUP(E43,КМС!$A$4:$C$27,IF($B$14="сальниковый",2,IF($B$14="П-образный",3,0)),FALSE)</f>
        <v>41.1</v>
      </c>
      <c r="H43" s="127">
        <f>F43+G43</f>
        <v>178.1</v>
      </c>
      <c r="I43" s="129">
        <f>IF(B43="","",C43*1000/($F$12*3600*3.14*VLOOKUP(D43,Трубы!$C$6:$E$31,3,FALSE)^2)*4*10^6)</f>
        <v>0.4666353143192403</v>
      </c>
      <c r="J43" s="127">
        <f>IF(B43="","",0.11*($F$13/VLOOKUP(D43,Трубы!$C$6:$E$31,3,FALSE)+68/(I43*VLOOKUP(D43,Трубы!$C$6:$E$31,3,FALSE)*1000/$F$11))^0.25*$F$12*I43^2/(2*VLOOKUP(D43,Трубы!$C$6:$E$31,3,FALSE)/1000))</f>
        <v>12.762785073800032</v>
      </c>
      <c r="K43" s="130">
        <f>J43*H43</f>
        <v>2273.052021643786</v>
      </c>
      <c r="L43" s="129">
        <f>K43/9810+L42</f>
        <v>1.2079770829340342</v>
      </c>
    </row>
    <row r="44" spans="1:12" ht="15.75">
      <c r="A44" s="132" t="s">
        <v>331</v>
      </c>
      <c r="B44" s="132">
        <f>1496+99</f>
        <v>1595</v>
      </c>
      <c r="C44" s="127">
        <f>IF(B44="","",B44*3600/(4187*($F$8-$F$9)))</f>
        <v>54.85550513494149</v>
      </c>
      <c r="D44" s="132" t="s">
        <v>228</v>
      </c>
      <c r="E44" s="128">
        <f>VLOOKUP(D44,Трубы!$C$6:$E$31,2,FALSE)</f>
        <v>200</v>
      </c>
      <c r="F44" s="133">
        <f>38+110+82</f>
        <v>230</v>
      </c>
      <c r="G44" s="127">
        <f>F44*VLOOKUP(E44,КМС!$A$4:$C$27,IF($B$14="сальниковый",2,IF($B$14="П-образный",3,0)),FALSE)</f>
        <v>69</v>
      </c>
      <c r="H44" s="127">
        <f>F44+G44</f>
        <v>299</v>
      </c>
      <c r="I44" s="129">
        <f>IF(B44="","",C44*1000/($F$12*3600*3.14*VLOOKUP(D44,Трубы!$C$6:$E$31,3,FALSE)^2)*4*10^6)</f>
        <v>0.4666353143192403</v>
      </c>
      <c r="J44" s="127">
        <f>IF(B44="","",0.11*($F$13/VLOOKUP(D44,Трубы!$C$6:$E$31,3,FALSE)+68/(I44*VLOOKUP(D44,Трубы!$C$6:$E$31,3,FALSE)*1000/$F$11))^0.25*$F$12*I44^2/(2*VLOOKUP(D44,Трубы!$C$6:$E$31,3,FALSE)/1000))</f>
        <v>12.762785073800032</v>
      </c>
      <c r="K44" s="130">
        <f>J44*H44</f>
        <v>3816.0727370662094</v>
      </c>
      <c r="L44" s="129">
        <f>K44/9810+L43</f>
        <v>1.596975323205819</v>
      </c>
    </row>
    <row r="45" spans="1:12" ht="15.75">
      <c r="A45" s="290" t="s">
        <v>215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</row>
    <row r="46" spans="1:12" ht="15.75">
      <c r="A46" s="132" t="s">
        <v>332</v>
      </c>
      <c r="B46" s="132">
        <f>605+110+648+233+6</f>
        <v>1602</v>
      </c>
      <c r="C46" s="127">
        <f>IF(B46="","",B46*3600/(4187*($F$8-$F$9)))</f>
        <v>55.09625029854311</v>
      </c>
      <c r="D46" s="132" t="s">
        <v>208</v>
      </c>
      <c r="E46" s="128">
        <f>VLOOKUP(D46,Трубы!$C$6:$E$31,2,FALSE)</f>
        <v>125</v>
      </c>
      <c r="F46" s="133">
        <v>46</v>
      </c>
      <c r="G46" s="127">
        <f>F46*VLOOKUP(E46,КМС!$A$4:$C$27,IF($B$14="сальниковый",2,IF($B$14="П-образный",3,0)),FALSE)</f>
        <v>13.799999999999999</v>
      </c>
      <c r="H46" s="127">
        <f>F46+G46</f>
        <v>59.8</v>
      </c>
      <c r="I46" s="129">
        <f>IF(B46="","",C46*1000/($F$12*3600*3.14*VLOOKUP(D46,Трубы!$C$6:$E$31,3,FALSE)^2)*4*10^6)</f>
        <v>1.2852869315166189</v>
      </c>
      <c r="J46" s="127">
        <f>IF(B46="","",0.11*($F$13/VLOOKUP(D46,Трубы!$C$6:$E$31,3,FALSE)+68/(I46*VLOOKUP(D46,Трубы!$C$6:$E$31,3,FALSE)*1000/$F$11))^0.25*$F$12*I46^2/(2*VLOOKUP(D46,Трубы!$C$6:$E$31,3,FALSE)/1000))</f>
        <v>179.10692551398316</v>
      </c>
      <c r="K46" s="130">
        <f>J46*H46</f>
        <v>10710.594145736191</v>
      </c>
      <c r="L46" s="129">
        <f>K46/9810+L25</f>
        <v>4.524873033557711</v>
      </c>
    </row>
    <row r="47" spans="1:12" ht="15.75">
      <c r="A47" s="132" t="s">
        <v>333</v>
      </c>
      <c r="B47" s="132">
        <f>550+759</f>
        <v>1309</v>
      </c>
      <c r="C47" s="127">
        <f>IF(B47="","",B47*3600/(4187*($F$8-$F$9)))</f>
        <v>45.0193455935037</v>
      </c>
      <c r="D47" s="132" t="s">
        <v>208</v>
      </c>
      <c r="E47" s="128">
        <f>VLOOKUP(D47,Трубы!$C$6:$E$31,2,FALSE)</f>
        <v>125</v>
      </c>
      <c r="F47" s="133">
        <v>45</v>
      </c>
      <c r="G47" s="127">
        <f>F47*VLOOKUP(E47,КМС!$A$4:$C$27,IF($B$14="сальниковый",2,IF($B$14="П-образный",3,0)),FALSE)</f>
        <v>13.5</v>
      </c>
      <c r="H47" s="127">
        <f>F47+G47</f>
        <v>58.5</v>
      </c>
      <c r="I47" s="129">
        <f>IF(B47="","",C47*1000/($F$12*3600*3.14*VLOOKUP(D47,Трубы!$C$6:$E$31,3,FALSE)^2)*4*10^6)</f>
        <v>1.0502126050906702</v>
      </c>
      <c r="J47" s="127">
        <f>IF(B47="","",0.11*($F$13/VLOOKUP(D47,Трубы!$C$6:$E$31,3,FALSE)+68/(I47*VLOOKUP(D47,Трубы!$C$6:$E$31,3,FALSE)*1000/$F$11))^0.25*$F$12*I47^2/(2*VLOOKUP(D47,Трубы!$C$6:$E$31,3,FALSE)/1000))</f>
        <v>119.8244140997571</v>
      </c>
      <c r="K47" s="130">
        <f>J47*H47</f>
        <v>7009.728224835791</v>
      </c>
      <c r="L47" s="129">
        <f>K47/9810+L26</f>
        <v>4.699900627768942</v>
      </c>
    </row>
    <row r="48" spans="1:12" ht="15.75">
      <c r="A48" s="132" t="s">
        <v>334</v>
      </c>
      <c r="B48" s="132">
        <f>357.5+547+54+43+547</f>
        <v>1548.5</v>
      </c>
      <c r="C48" s="127">
        <f>IF(B48="","",B48*3600/(4187*($F$8-$F$9)))</f>
        <v>53.25626940530213</v>
      </c>
      <c r="D48" s="132" t="s">
        <v>208</v>
      </c>
      <c r="E48" s="128">
        <f>VLOOKUP(D48,Трубы!$C$6:$E$31,2,FALSE)</f>
        <v>125</v>
      </c>
      <c r="F48" s="133">
        <v>30</v>
      </c>
      <c r="G48" s="127">
        <f>F48*VLOOKUP(E48,КМС!$A$4:$C$27,IF($B$14="сальниковый",2,IF($B$14="П-образный",3,0)),FALSE)</f>
        <v>9</v>
      </c>
      <c r="H48" s="127">
        <f>F48+G48</f>
        <v>39</v>
      </c>
      <c r="I48" s="129">
        <f>IF(B48="","",C48*1000/($F$12*3600*3.14*VLOOKUP(D48,Трубы!$C$6:$E$31,3,FALSE)^2)*4*10^6)</f>
        <v>1.2423638036538605</v>
      </c>
      <c r="J48" s="127">
        <f>IF(B48="","",0.11*($F$13/VLOOKUP(D48,Трубы!$C$6:$E$31,3,FALSE)+68/(I48*VLOOKUP(D48,Трубы!$C$6:$E$31,3,FALSE)*1000/$F$11))^0.25*$F$12*I48^2/(2*VLOOKUP(D48,Трубы!$C$6:$E$31,3,FALSE)/1000))</f>
        <v>167.39630381724794</v>
      </c>
      <c r="K48" s="130">
        <f>J48*H48</f>
        <v>6528.45584887267</v>
      </c>
      <c r="L48" s="129">
        <f>K48/9810+L27</f>
        <v>5.428569724638573</v>
      </c>
    </row>
    <row r="49" spans="1:12" ht="15.75">
      <c r="A49" s="132" t="s">
        <v>296</v>
      </c>
      <c r="B49" s="132">
        <v>1238</v>
      </c>
      <c r="C49" s="127">
        <f>IF(B49="","",B49*3600/(4187*($F$8-$F$9)))</f>
        <v>42.577501791258655</v>
      </c>
      <c r="D49" s="132" t="s">
        <v>208</v>
      </c>
      <c r="E49" s="128">
        <f>VLOOKUP(D49,Трубы!$C$6:$E$31,2,FALSE)</f>
        <v>125</v>
      </c>
      <c r="F49" s="133">
        <v>32</v>
      </c>
      <c r="G49" s="127">
        <f>F49*VLOOKUP(E49,КМС!$A$4:$C$27,IF($B$14="сальниковый",2,IF($B$14="П-образный",3,0)),FALSE)</f>
        <v>9.6</v>
      </c>
      <c r="H49" s="127">
        <f>F49+G49</f>
        <v>41.6</v>
      </c>
      <c r="I49" s="129">
        <f>IF(B49="","",C49*1000/($F$12*3600*3.14*VLOOKUP(D49,Трубы!$C$6:$E$31,3,FALSE)^2)*4*10^6)</f>
        <v>0.9932492017587852</v>
      </c>
      <c r="J49" s="127">
        <f>IF(B49="","",0.11*($F$13/VLOOKUP(D49,Трубы!$C$6:$E$31,3,FALSE)+68/(I49*VLOOKUP(D49,Трубы!$C$6:$E$31,3,FALSE)*1000/$F$11))^0.25*$F$12*I49^2/(2*VLOOKUP(D49,Трубы!$C$6:$E$31,3,FALSE)/1000))</f>
        <v>107.24606696170655</v>
      </c>
      <c r="K49" s="130">
        <f>J49*H49</f>
        <v>4461.436385606992</v>
      </c>
      <c r="L49" s="129">
        <f>K49/9810+L33</f>
        <v>3.683568779241894</v>
      </c>
    </row>
    <row r="50" spans="1:12" ht="15.75">
      <c r="A50" s="132" t="s">
        <v>218</v>
      </c>
      <c r="B50" s="132">
        <v>999</v>
      </c>
      <c r="C50" s="127">
        <f>IF(B50="","",B50*3600/(4187*($F$8-$F$9)))</f>
        <v>34.357774062574634</v>
      </c>
      <c r="D50" s="132" t="s">
        <v>208</v>
      </c>
      <c r="E50" s="128">
        <f>VLOOKUP(D50,Трубы!$C$6:$E$31,2,FALSE)</f>
        <v>125</v>
      </c>
      <c r="F50" s="133">
        <v>45</v>
      </c>
      <c r="G50" s="127">
        <f>F50*VLOOKUP(E50,КМС!$A$4:$C$27,IF($B$14="сальниковый",2,IF($B$14="П-образный",3,0)),FALSE)</f>
        <v>13.5</v>
      </c>
      <c r="H50" s="127">
        <f>F50+G50</f>
        <v>58.5</v>
      </c>
      <c r="I50" s="129">
        <f>IF(B50="","",C50*1000/($F$12*3600*3.14*VLOOKUP(D50,Трубы!$C$6:$E$31,3,FALSE)^2)*4*10^6)</f>
        <v>0.8014991539232847</v>
      </c>
      <c r="J50" s="127">
        <f>IF(B50="","",0.11*($F$13/VLOOKUP(D50,Трубы!$C$6:$E$31,3,FALSE)+68/(I50*VLOOKUP(D50,Трубы!$C$6:$E$31,3,FALSE)*1000/$F$11))^0.25*$F$12*I50^2/(2*VLOOKUP(D50,Трубы!$C$6:$E$31,3,FALSE)/1000))</f>
        <v>70.02799701932443</v>
      </c>
      <c r="K50" s="130">
        <f>J50*H50</f>
        <v>4096.637825630479</v>
      </c>
      <c r="L50" s="129">
        <f>K50/9810+L24</f>
        <v>3.3172666316484802</v>
      </c>
    </row>
    <row r="51" spans="1:12" ht="15.75">
      <c r="A51" s="132" t="s">
        <v>314</v>
      </c>
      <c r="B51" s="132">
        <f>1502+99</f>
        <v>1601</v>
      </c>
      <c r="C51" s="127">
        <f aca="true" t="shared" si="7" ref="C51:C88">IF(B51="","",B51*3600/(4187*($F$8-$F$9)))</f>
        <v>55.061858132314306</v>
      </c>
      <c r="D51" s="132" t="s">
        <v>226</v>
      </c>
      <c r="E51" s="128">
        <f>VLOOKUP(D51,Трубы!$C$6:$E$31,2,FALSE)</f>
        <v>150</v>
      </c>
      <c r="F51" s="133">
        <v>73</v>
      </c>
      <c r="G51" s="127">
        <f>F51*VLOOKUP(E51,КМС!$A$4:$C$27,IF($B$14="сальниковый",2,IF($B$14="П-образный",3,0)),FALSE)</f>
        <v>21.9</v>
      </c>
      <c r="H51" s="127">
        <f aca="true" t="shared" si="8" ref="H51:H56">F51+G51</f>
        <v>94.9</v>
      </c>
      <c r="I51" s="129">
        <f>IF(B51="","",C51*1000/($F$12*3600*3.14*VLOOKUP(D51,Трубы!$C$6:$E$31,3,FALSE)^2)*4*10^6)</f>
        <v>0.8920032153203057</v>
      </c>
      <c r="J51" s="127">
        <f>IF(B51="","",0.11*($F$13/VLOOKUP(D51,Трубы!$C$6:$E$31,3,FALSE)+68/(I51*VLOOKUP(D51,Трубы!$C$6:$E$31,3,FALSE)*1000/$F$11))^0.25*$F$12*I51^2/(2*VLOOKUP(D51,Трубы!$C$6:$E$31,3,FALSE)/1000))</f>
        <v>68.95924416738544</v>
      </c>
      <c r="K51" s="130">
        <f aca="true" t="shared" si="9" ref="K51:K56">J51*H51</f>
        <v>6544.232271484878</v>
      </c>
      <c r="L51" s="129">
        <f>K51/9810+L35</f>
        <v>4.574217424959665</v>
      </c>
    </row>
    <row r="52" spans="1:12" ht="15.75">
      <c r="A52" s="132" t="s">
        <v>298</v>
      </c>
      <c r="B52" s="132">
        <v>914</v>
      </c>
      <c r="C52" s="127">
        <f t="shared" si="7"/>
        <v>31.43443993312634</v>
      </c>
      <c r="D52" s="132" t="s">
        <v>208</v>
      </c>
      <c r="E52" s="128">
        <f>VLOOKUP(D52,Трубы!$C$6:$E$31,2,FALSE)</f>
        <v>125</v>
      </c>
      <c r="F52" s="133">
        <v>16</v>
      </c>
      <c r="G52" s="127">
        <f>F52*VLOOKUP(E52,КМС!$A$4:$C$27,IF($B$14="сальниковый",2,IF($B$14="П-образный",3,0)),FALSE)</f>
        <v>4.8</v>
      </c>
      <c r="H52" s="127">
        <f t="shared" si="8"/>
        <v>20.8</v>
      </c>
      <c r="I52" s="129">
        <f>IF(B52="","",C52*1000/($F$12*3600*3.14*VLOOKUP(D52,Трубы!$C$6:$E$31,3,FALSE)^2)*4*10^6)</f>
        <v>0.7333035302160983</v>
      </c>
      <c r="J52" s="127">
        <f>IF(B52="","",0.11*($F$13/VLOOKUP(D52,Трубы!$C$6:$E$31,3,FALSE)+68/(I52*VLOOKUP(D52,Трубы!$C$6:$E$31,3,FALSE)*1000/$F$11))^0.25*$F$12*I52^2/(2*VLOOKUP(D52,Трубы!$C$6:$E$31,3,FALSE)/1000))</f>
        <v>58.69576808713903</v>
      </c>
      <c r="K52" s="130">
        <f t="shared" si="9"/>
        <v>1220.8719762124917</v>
      </c>
      <c r="L52" s="129">
        <f>K52/9810+L42</f>
        <v>1.1007212169369602</v>
      </c>
    </row>
    <row r="53" spans="1:12" ht="15.75">
      <c r="A53" s="132" t="s">
        <v>299</v>
      </c>
      <c r="B53" s="132">
        <f>995+404</f>
        <v>1399</v>
      </c>
      <c r="C53" s="127">
        <f t="shared" si="7"/>
        <v>48.11464055409601</v>
      </c>
      <c r="D53" s="132" t="s">
        <v>208</v>
      </c>
      <c r="E53" s="128">
        <f>VLOOKUP(D53,Трубы!$C$6:$E$31,2,FALSE)</f>
        <v>125</v>
      </c>
      <c r="F53" s="133">
        <v>34</v>
      </c>
      <c r="G53" s="127">
        <f>F53*VLOOKUP(E53,КМС!$A$4:$C$27,IF($B$14="сальниковый",2,IF($B$14="П-образный",3,0)),FALSE)</f>
        <v>10.2</v>
      </c>
      <c r="H53" s="127">
        <f t="shared" si="8"/>
        <v>44.2</v>
      </c>
      <c r="I53" s="129">
        <f>IF(B53="","",C53*1000/($F$12*3600*3.14*VLOOKUP(D53,Трубы!$C$6:$E$31,3,FALSE)^2)*4*10^6)</f>
        <v>1.12241973607475</v>
      </c>
      <c r="J53" s="127">
        <f>IF(B53="","",0.11*($F$13/VLOOKUP(D53,Трубы!$C$6:$E$31,3,FALSE)+68/(I53*VLOOKUP(D53,Трубы!$C$6:$E$31,3,FALSE)*1000/$F$11))^0.25*$F$12*I53^2/(2*VLOOKUP(D53,Трубы!$C$6:$E$31,3,FALSE)/1000))</f>
        <v>136.77074095752064</v>
      </c>
      <c r="K53" s="130">
        <f t="shared" si="9"/>
        <v>6045.266750322413</v>
      </c>
      <c r="L53" s="129">
        <f>K53/9810+L21</f>
        <v>1.863224984682634</v>
      </c>
    </row>
    <row r="54" spans="1:12" ht="15.75">
      <c r="A54" s="132" t="s">
        <v>300</v>
      </c>
      <c r="B54" s="132">
        <v>995</v>
      </c>
      <c r="C54" s="127">
        <f t="shared" si="7"/>
        <v>34.22020539765942</v>
      </c>
      <c r="D54" s="132" t="s">
        <v>208</v>
      </c>
      <c r="E54" s="128">
        <f>VLOOKUP(D54,Трубы!$C$6:$E$31,2,FALSE)</f>
        <v>125</v>
      </c>
      <c r="F54" s="133">
        <v>35</v>
      </c>
      <c r="G54" s="127">
        <f>F54*VLOOKUP(E54,КМС!$A$4:$C$27,IF($B$14="сальниковый",2,IF($B$14="П-образный",3,0)),FALSE)</f>
        <v>10.5</v>
      </c>
      <c r="H54" s="127">
        <f t="shared" si="8"/>
        <v>45.5</v>
      </c>
      <c r="I54" s="129">
        <f>IF(B54="","",C54*1000/($F$12*3600*3.14*VLOOKUP(D54,Трубы!$C$6:$E$31,3,FALSE)^2)*4*10^6)</f>
        <v>0.79828994810177</v>
      </c>
      <c r="J54" s="127">
        <f>IF(B54="","",0.11*($F$13/VLOOKUP(D54,Трубы!$C$6:$E$31,3,FALSE)+68/(I54*VLOOKUP(D54,Трубы!$C$6:$E$31,3,FALSE)*1000/$F$11))^0.25*$F$12*I54^2/(2*VLOOKUP(D54,Трубы!$C$6:$E$31,3,FALSE)/1000))</f>
        <v>69.47231180647526</v>
      </c>
      <c r="K54" s="130">
        <f t="shared" si="9"/>
        <v>3160.9901871946245</v>
      </c>
      <c r="L54" s="129">
        <f>K54/9810+L22</f>
        <v>2.1662313368117383</v>
      </c>
    </row>
    <row r="55" spans="1:12" ht="15.75">
      <c r="A55" s="132" t="s">
        <v>301</v>
      </c>
      <c r="B55" s="132">
        <v>532</v>
      </c>
      <c r="C55" s="127">
        <f t="shared" si="7"/>
        <v>18.29663243372343</v>
      </c>
      <c r="D55" s="132" t="s">
        <v>214</v>
      </c>
      <c r="E55" s="128">
        <f>VLOOKUP(D55,Трубы!$C$6:$E$31,2,FALSE)</f>
        <v>80</v>
      </c>
      <c r="F55" s="133">
        <v>40</v>
      </c>
      <c r="G55" s="127">
        <f>F55*VLOOKUP(E55,КМС!$A$4:$C$27,IF($B$14="сальниковый",2,IF($B$14="П-образный",3,0)),FALSE)</f>
        <v>12</v>
      </c>
      <c r="H55" s="127">
        <f t="shared" si="8"/>
        <v>52</v>
      </c>
      <c r="I55" s="129">
        <f>IF(B55="","",C55*1000/($F$12*3600*3.14*VLOOKUP(D55,Трубы!$C$6:$E$31,3,FALSE)^2)*4*10^6)</f>
        <v>0.9918398048535308</v>
      </c>
      <c r="J55" s="127">
        <f>IF(B55="","",0.11*($F$13/VLOOKUP(D55,Трубы!$C$6:$E$31,3,FALSE)+68/(I55*VLOOKUP(D55,Трубы!$C$6:$E$31,3,FALSE)*1000/$F$11))^0.25*$F$12*I55^2/(2*VLOOKUP(D55,Трубы!$C$6:$E$31,3,FALSE)/1000))</f>
        <v>181.14458807715513</v>
      </c>
      <c r="K55" s="130">
        <f t="shared" si="9"/>
        <v>9419.518580012067</v>
      </c>
      <c r="L55" s="129">
        <f>K55/9810+L32</f>
        <v>3.766058488593897</v>
      </c>
    </row>
    <row r="56" spans="1:12" ht="15.75">
      <c r="A56" s="132" t="s">
        <v>321</v>
      </c>
      <c r="B56" s="132">
        <v>361</v>
      </c>
      <c r="C56" s="127">
        <f t="shared" si="7"/>
        <v>12.415572008598042</v>
      </c>
      <c r="D56" s="132" t="s">
        <v>214</v>
      </c>
      <c r="E56" s="128">
        <f>VLOOKUP(D56,Трубы!$C$6:$E$31,2,FALSE)</f>
        <v>80</v>
      </c>
      <c r="F56" s="133">
        <v>77</v>
      </c>
      <c r="G56" s="127">
        <f>F56*VLOOKUP(E56,КМС!$A$4:$C$27,IF($B$14="сальниковый",2,IF($B$14="П-образный",3,0)),FALSE)</f>
        <v>23.099999999999998</v>
      </c>
      <c r="H56" s="127">
        <f t="shared" si="8"/>
        <v>100.1</v>
      </c>
      <c r="I56" s="129">
        <f>IF(B56="","",C56*1000/($F$12*3600*3.14*VLOOKUP(D56,Трубы!$C$6:$E$31,3,FALSE)^2)*4*10^6)</f>
        <v>0.6730341532934674</v>
      </c>
      <c r="J56" s="127">
        <f>IF(B56="","",0.11*($F$13/VLOOKUP(D56,Трубы!$C$6:$E$31,3,FALSE)+68/(I56*VLOOKUP(D56,Трубы!$C$6:$E$31,3,FALSE)*1000/$F$11))^0.25*$F$12*I56^2/(2*VLOOKUP(D56,Трубы!$C$6:$E$31,3,FALSE)/1000))</f>
        <v>83.86565743262831</v>
      </c>
      <c r="K56" s="130">
        <f t="shared" si="9"/>
        <v>8394.952309006094</v>
      </c>
      <c r="L56" s="129">
        <f>K56/9810+L39</f>
        <v>5.273107418931053</v>
      </c>
    </row>
    <row r="57" spans="1:12" ht="15.75">
      <c r="A57" s="132" t="s">
        <v>375</v>
      </c>
      <c r="B57" s="132">
        <v>362</v>
      </c>
      <c r="C57" s="127">
        <f t="shared" si="7"/>
        <v>12.449964174826844</v>
      </c>
      <c r="D57" s="132" t="s">
        <v>214</v>
      </c>
      <c r="E57" s="128">
        <f>VLOOKUP(D57,Трубы!$C$6:$E$31,2,FALSE)</f>
        <v>80</v>
      </c>
      <c r="F57" s="133">
        <v>78</v>
      </c>
      <c r="G57" s="127">
        <f>F57*VLOOKUP(E57,КМС!$A$4:$C$27,IF($B$14="сальниковый",2,IF($B$14="П-образный",3,0)),FALSE)</f>
        <v>23.4</v>
      </c>
      <c r="H57" s="127">
        <f aca="true" t="shared" si="10" ref="H57:H88">F57+G57</f>
        <v>101.4</v>
      </c>
      <c r="I57" s="129">
        <f>IF(B57="","",C57*1000/($F$12*3600*3.14*VLOOKUP(D57,Трубы!$C$6:$E$31,3,FALSE)^2)*4*10^6)</f>
        <v>0.6748985138289061</v>
      </c>
      <c r="J57" s="127">
        <f>IF(B57="","",0.11*($F$13/VLOOKUP(D57,Трубы!$C$6:$E$31,3,FALSE)+68/(I57*VLOOKUP(D57,Трубы!$C$6:$E$31,3,FALSE)*1000/$F$11))^0.25*$F$12*I57^2/(2*VLOOKUP(D57,Трубы!$C$6:$E$31,3,FALSE)/1000))</f>
        <v>84.32702195624482</v>
      </c>
      <c r="K57" s="130">
        <f aca="true" t="shared" si="11" ref="K57:K88">J57*H57</f>
        <v>8550.760026363225</v>
      </c>
      <c r="L57" s="129">
        <f aca="true" t="shared" si="12" ref="L57:L88">K57/9810+L40</f>
        <v>5.534482730647783</v>
      </c>
    </row>
    <row r="58" spans="1:12" ht="15.75">
      <c r="A58" s="132" t="s">
        <v>376</v>
      </c>
      <c r="B58" s="132">
        <v>363</v>
      </c>
      <c r="C58" s="127">
        <f t="shared" si="7"/>
        <v>12.484356341055648</v>
      </c>
      <c r="D58" s="132" t="s">
        <v>214</v>
      </c>
      <c r="E58" s="128">
        <f>VLOOKUP(D58,Трубы!$C$6:$E$31,2,FALSE)</f>
        <v>80</v>
      </c>
      <c r="F58" s="133">
        <v>79</v>
      </c>
      <c r="G58" s="127">
        <f>F58*VLOOKUP(E58,КМС!$A$4:$C$27,IF($B$14="сальниковый",2,IF($B$14="П-образный",3,0)),FALSE)</f>
        <v>23.7</v>
      </c>
      <c r="H58" s="127">
        <f t="shared" si="10"/>
        <v>102.7</v>
      </c>
      <c r="I58" s="129">
        <f>IF(B58="","",C58*1000/($F$12*3600*3.14*VLOOKUP(D58,Трубы!$C$6:$E$31,3,FALSE)^2)*4*10^6)</f>
        <v>0.6767628743643451</v>
      </c>
      <c r="J58" s="127">
        <f>IF(B58="","",0.11*($F$13/VLOOKUP(D58,Трубы!$C$6:$E$31,3,FALSE)+68/(I58*VLOOKUP(D58,Трубы!$C$6:$E$31,3,FALSE)*1000/$F$11))^0.25*$F$12*I58^2/(2*VLOOKUP(D58,Трубы!$C$6:$E$31,3,FALSE)/1000))</f>
        <v>84.78965140562863</v>
      </c>
      <c r="K58" s="130">
        <f t="shared" si="11"/>
        <v>8707.89719935806</v>
      </c>
      <c r="L58" s="129">
        <f t="shared" si="12"/>
        <v>0.8876551681302813</v>
      </c>
    </row>
    <row r="59" spans="1:12" ht="15.75">
      <c r="A59" s="132" t="s">
        <v>377</v>
      </c>
      <c r="B59" s="132">
        <v>364</v>
      </c>
      <c r="C59" s="127">
        <f t="shared" si="7"/>
        <v>12.518748507284451</v>
      </c>
      <c r="D59" s="132" t="s">
        <v>214</v>
      </c>
      <c r="E59" s="128">
        <f>VLOOKUP(D59,Трубы!$C$6:$E$31,2,FALSE)</f>
        <v>80</v>
      </c>
      <c r="F59" s="133">
        <v>80</v>
      </c>
      <c r="G59" s="127">
        <f>F59*VLOOKUP(E59,КМС!$A$4:$C$27,IF($B$14="сальниковый",2,IF($B$14="П-образный",3,0)),FALSE)</f>
        <v>24</v>
      </c>
      <c r="H59" s="127">
        <f t="shared" si="10"/>
        <v>104</v>
      </c>
      <c r="I59" s="129">
        <f>IF(B59="","",C59*1000/($F$12*3600*3.14*VLOOKUP(D59,Трубы!$C$6:$E$31,3,FALSE)^2)*4*10^6)</f>
        <v>0.678627234899784</v>
      </c>
      <c r="J59" s="127">
        <f>IF(B59="","",0.11*($F$13/VLOOKUP(D59,Трубы!$C$6:$E$31,3,FALSE)+68/(I59*VLOOKUP(D59,Трубы!$C$6:$E$31,3,FALSE)*1000/$F$11))^0.25*$F$12*I59^2/(2*VLOOKUP(D59,Трубы!$C$6:$E$31,3,FALSE)/1000))</f>
        <v>85.25354578060569</v>
      </c>
      <c r="K59" s="130">
        <f t="shared" si="11"/>
        <v>8866.368761182992</v>
      </c>
      <c r="L59" s="129">
        <f t="shared" si="12"/>
        <v>1.8800786873722815</v>
      </c>
    </row>
    <row r="60" spans="1:12" ht="15.75">
      <c r="A60" s="132" t="s">
        <v>378</v>
      </c>
      <c r="B60" s="132">
        <v>365</v>
      </c>
      <c r="C60" s="127">
        <f t="shared" si="7"/>
        <v>12.553140673513255</v>
      </c>
      <c r="D60" s="132" t="s">
        <v>214</v>
      </c>
      <c r="E60" s="128">
        <f>VLOOKUP(D60,Трубы!$C$6:$E$31,2,FALSE)</f>
        <v>80</v>
      </c>
      <c r="F60" s="133">
        <v>81</v>
      </c>
      <c r="G60" s="127">
        <f>F60*VLOOKUP(E60,КМС!$A$4:$C$27,IF($B$14="сальниковый",2,IF($B$14="П-образный",3,0)),FALSE)</f>
        <v>24.3</v>
      </c>
      <c r="H60" s="127">
        <f t="shared" si="10"/>
        <v>105.3</v>
      </c>
      <c r="I60" s="129">
        <f>IF(B60="","",C60*1000/($F$12*3600*3.14*VLOOKUP(D60,Трубы!$C$6:$E$31,3,FALSE)^2)*4*10^6)</f>
        <v>0.6804915954352231</v>
      </c>
      <c r="J60" s="127">
        <f>IF(B60="","",0.11*($F$13/VLOOKUP(D60,Трубы!$C$6:$E$31,3,FALSE)+68/(I60*VLOOKUP(D60,Трубы!$C$6:$E$31,3,FALSE)*1000/$F$11))^0.25*$F$12*I60^2/(2*VLOOKUP(D60,Трубы!$C$6:$E$31,3,FALSE)/1000))</f>
        <v>85.71870508100382</v>
      </c>
      <c r="K60" s="130">
        <f t="shared" si="11"/>
        <v>9026.179645029702</v>
      </c>
      <c r="L60" s="129">
        <f t="shared" si="12"/>
        <v>2.1280769448126993</v>
      </c>
    </row>
    <row r="61" spans="1:12" ht="15.75">
      <c r="A61" s="132" t="s">
        <v>379</v>
      </c>
      <c r="B61" s="132">
        <v>366</v>
      </c>
      <c r="C61" s="127">
        <f t="shared" si="7"/>
        <v>12.587532839742058</v>
      </c>
      <c r="D61" s="132" t="s">
        <v>214</v>
      </c>
      <c r="E61" s="128">
        <f>VLOOKUP(D61,Трубы!$C$6:$E$31,2,FALSE)</f>
        <v>80</v>
      </c>
      <c r="F61" s="133">
        <v>82</v>
      </c>
      <c r="G61" s="127">
        <f>F61*VLOOKUP(E61,КМС!$A$4:$C$27,IF($B$14="сальниковый",2,IF($B$14="П-образный",3,0)),FALSE)</f>
        <v>24.599999999999998</v>
      </c>
      <c r="H61" s="127">
        <f t="shared" si="10"/>
        <v>106.6</v>
      </c>
      <c r="I61" s="129">
        <f>IF(B61="","",C61*1000/($F$12*3600*3.14*VLOOKUP(D61,Трубы!$C$6:$E$31,3,FALSE)^2)*4*10^6)</f>
        <v>0.6823559559706621</v>
      </c>
      <c r="J61" s="127">
        <f>IF(B61="","",0.11*($F$13/VLOOKUP(D61,Трубы!$C$6:$E$31,3,FALSE)+68/(I61*VLOOKUP(D61,Трубы!$C$6:$E$31,3,FALSE)*1000/$F$11))^0.25*$F$12*I61^2/(2*VLOOKUP(D61,Трубы!$C$6:$E$31,3,FALSE)/1000))</f>
        <v>86.18512930665258</v>
      </c>
      <c r="K61" s="130">
        <f t="shared" si="11"/>
        <v>9187.334784089166</v>
      </c>
      <c r="L61" s="129">
        <f t="shared" si="12"/>
        <v>2.5335028241323396</v>
      </c>
    </row>
    <row r="62" spans="1:12" ht="15.75">
      <c r="A62" s="132" t="s">
        <v>380</v>
      </c>
      <c r="B62" s="132">
        <v>367</v>
      </c>
      <c r="C62" s="127">
        <f t="shared" si="7"/>
        <v>12.621925005970862</v>
      </c>
      <c r="D62" s="132" t="s">
        <v>214</v>
      </c>
      <c r="E62" s="128">
        <f>VLOOKUP(D62,Трубы!$C$6:$E$31,2,FALSE)</f>
        <v>80</v>
      </c>
      <c r="F62" s="133">
        <v>83</v>
      </c>
      <c r="G62" s="127">
        <f>F62*VLOOKUP(E62,КМС!$A$4:$C$27,IF($B$14="сальниковый",2,IF($B$14="П-образный",3,0)),FALSE)</f>
        <v>24.9</v>
      </c>
      <c r="H62" s="127">
        <f t="shared" si="10"/>
        <v>107.9</v>
      </c>
      <c r="I62" s="129">
        <f>IF(B62="","",C62*1000/($F$12*3600*3.14*VLOOKUP(D62,Трубы!$C$6:$E$31,3,FALSE)^2)*4*10^6)</f>
        <v>0.684220316506101</v>
      </c>
      <c r="J62" s="127">
        <f>IF(B62="","",0.11*($F$13/VLOOKUP(D62,Трубы!$C$6:$E$31,3,FALSE)+68/(I62*VLOOKUP(D62,Трубы!$C$6:$E$31,3,FALSE)*1000/$F$11))^0.25*$F$12*I62^2/(2*VLOOKUP(D62,Трубы!$C$6:$E$31,3,FALSE)/1000))</f>
        <v>86.65281845738335</v>
      </c>
      <c r="K62" s="130">
        <f t="shared" si="11"/>
        <v>9349.839111551664</v>
      </c>
      <c r="L62" s="129">
        <f t="shared" si="12"/>
        <v>0.9530926719216783</v>
      </c>
    </row>
    <row r="63" spans="1:12" ht="15.75">
      <c r="A63" s="132" t="s">
        <v>381</v>
      </c>
      <c r="B63" s="132">
        <v>368</v>
      </c>
      <c r="C63" s="127">
        <f t="shared" si="7"/>
        <v>12.656317172199666</v>
      </c>
      <c r="D63" s="132" t="s">
        <v>214</v>
      </c>
      <c r="E63" s="128">
        <f>VLOOKUP(D63,Трубы!$C$6:$E$31,2,FALSE)</f>
        <v>80</v>
      </c>
      <c r="F63" s="133">
        <v>84</v>
      </c>
      <c r="G63" s="127">
        <f>F63*VLOOKUP(E63,КМС!$A$4:$C$27,IF($B$14="сальниковый",2,IF($B$14="П-образный",3,0)),FALSE)</f>
        <v>25.2</v>
      </c>
      <c r="H63" s="127">
        <f t="shared" si="10"/>
        <v>109.2</v>
      </c>
      <c r="I63" s="129">
        <f>IF(B63="","",C63*1000/($F$12*3600*3.14*VLOOKUP(D63,Трубы!$C$6:$E$31,3,FALSE)^2)*4*10^6)</f>
        <v>0.6860846770415401</v>
      </c>
      <c r="J63" s="127">
        <f>IF(B63="","",0.11*($F$13/VLOOKUP(D63,Трубы!$C$6:$E$31,3,FALSE)+68/(I63*VLOOKUP(D63,Трубы!$C$6:$E$31,3,FALSE)*1000/$F$11))^0.25*$F$12*I63^2/(2*VLOOKUP(D63,Трубы!$C$6:$E$31,3,FALSE)/1000))</f>
        <v>87.12177253302931</v>
      </c>
      <c r="K63" s="130">
        <f t="shared" si="11"/>
        <v>9513.6975606068</v>
      </c>
      <c r="L63" s="129">
        <f t="shared" si="12"/>
        <v>5.494668911295407</v>
      </c>
    </row>
    <row r="64" spans="1:12" ht="15.75">
      <c r="A64" s="132" t="s">
        <v>382</v>
      </c>
      <c r="B64" s="132">
        <v>369</v>
      </c>
      <c r="C64" s="127">
        <f t="shared" si="7"/>
        <v>12.69070933842847</v>
      </c>
      <c r="D64" s="132" t="s">
        <v>214</v>
      </c>
      <c r="E64" s="128">
        <f>VLOOKUP(D64,Трубы!$C$6:$E$31,2,FALSE)</f>
        <v>80</v>
      </c>
      <c r="F64" s="133">
        <v>85</v>
      </c>
      <c r="G64" s="127">
        <f>F64*VLOOKUP(E64,КМС!$A$4:$C$27,IF($B$14="сальниковый",2,IF($B$14="П-образный",3,0)),FALSE)</f>
        <v>25.5</v>
      </c>
      <c r="H64" s="127">
        <f t="shared" si="10"/>
        <v>110.5</v>
      </c>
      <c r="I64" s="129">
        <f>IF(B64="","",C64*1000/($F$12*3600*3.14*VLOOKUP(D64,Трубы!$C$6:$E$31,3,FALSE)^2)*4*10^6)</f>
        <v>0.687949037576979</v>
      </c>
      <c r="J64" s="127">
        <f>IF(B64="","",0.11*($F$13/VLOOKUP(D64,Трубы!$C$6:$E$31,3,FALSE)+68/(I64*VLOOKUP(D64,Трубы!$C$6:$E$31,3,FALSE)*1000/$F$11))^0.25*$F$12*I64^2/(2*VLOOKUP(D64,Трубы!$C$6:$E$31,3,FALSE)/1000))</f>
        <v>87.59199153342523</v>
      </c>
      <c r="K64" s="130">
        <f t="shared" si="11"/>
        <v>9678.915064443489</v>
      </c>
      <c r="L64" s="129">
        <f t="shared" si="12"/>
        <v>5.686538249017004</v>
      </c>
    </row>
    <row r="65" spans="1:12" ht="15.75">
      <c r="A65" s="132" t="s">
        <v>383</v>
      </c>
      <c r="B65" s="132">
        <v>370</v>
      </c>
      <c r="C65" s="127">
        <f t="shared" si="7"/>
        <v>12.725101504657273</v>
      </c>
      <c r="D65" s="132" t="s">
        <v>214</v>
      </c>
      <c r="E65" s="128">
        <f>VLOOKUP(D65,Трубы!$C$6:$E$31,2,FALSE)</f>
        <v>80</v>
      </c>
      <c r="F65" s="133">
        <v>86</v>
      </c>
      <c r="G65" s="127">
        <f>F65*VLOOKUP(E65,КМС!$A$4:$C$27,IF($B$14="сальниковый",2,IF($B$14="П-образный",3,0)),FALSE)</f>
        <v>25.8</v>
      </c>
      <c r="H65" s="127">
        <f t="shared" si="10"/>
        <v>111.8</v>
      </c>
      <c r="I65" s="129">
        <f>IF(B65="","",C65*1000/($F$12*3600*3.14*VLOOKUP(D65,Трубы!$C$6:$E$31,3,FALSE)^2)*4*10^6)</f>
        <v>0.6898133981124179</v>
      </c>
      <c r="J65" s="127">
        <f>IF(B65="","",0.11*($F$13/VLOOKUP(D65,Трубы!$C$6:$E$31,3,FALSE)+68/(I65*VLOOKUP(D65,Трубы!$C$6:$E$31,3,FALSE)*1000/$F$11))^0.25*$F$12*I65^2/(2*VLOOKUP(D65,Трубы!$C$6:$E$31,3,FALSE)/1000))</f>
        <v>88.06347545840771</v>
      </c>
      <c r="K65" s="130">
        <f t="shared" si="11"/>
        <v>9845.496556249982</v>
      </c>
      <c r="L65" s="129">
        <f t="shared" si="12"/>
        <v>6.432188129964769</v>
      </c>
    </row>
    <row r="66" spans="1:12" ht="15.75">
      <c r="A66" s="132" t="s">
        <v>384</v>
      </c>
      <c r="B66" s="132">
        <v>371</v>
      </c>
      <c r="C66" s="127">
        <f t="shared" si="7"/>
        <v>12.759493670886076</v>
      </c>
      <c r="D66" s="132" t="s">
        <v>214</v>
      </c>
      <c r="E66" s="128">
        <f>VLOOKUP(D66,Трубы!$C$6:$E$31,2,FALSE)</f>
        <v>80</v>
      </c>
      <c r="F66" s="133">
        <v>87</v>
      </c>
      <c r="G66" s="127">
        <f>F66*VLOOKUP(E66,КМС!$A$4:$C$27,IF($B$14="сальниковый",2,IF($B$14="П-образный",3,0)),FALSE)</f>
        <v>26.099999999999998</v>
      </c>
      <c r="H66" s="127">
        <f t="shared" si="10"/>
        <v>113.1</v>
      </c>
      <c r="I66" s="129">
        <f>IF(B66="","",C66*1000/($F$12*3600*3.14*VLOOKUP(D66,Трубы!$C$6:$E$31,3,FALSE)^2)*4*10^6)</f>
        <v>0.691677758647857</v>
      </c>
      <c r="J66" s="127">
        <f>IF(B66="","",0.11*($F$13/VLOOKUP(D66,Трубы!$C$6:$E$31,3,FALSE)+68/(I66*VLOOKUP(D66,Трубы!$C$6:$E$31,3,FALSE)*1000/$F$11))^0.25*$F$12*I66^2/(2*VLOOKUP(D66,Трубы!$C$6:$E$31,3,FALSE)/1000))</f>
        <v>88.53622430781503</v>
      </c>
      <c r="K66" s="130">
        <f t="shared" si="11"/>
        <v>10013.44696921388</v>
      </c>
      <c r="L66" s="129">
        <f t="shared" si="12"/>
        <v>4.704307512087345</v>
      </c>
    </row>
    <row r="67" spans="1:12" ht="15.75">
      <c r="A67" s="132" t="s">
        <v>385</v>
      </c>
      <c r="B67" s="132">
        <v>372</v>
      </c>
      <c r="C67" s="127">
        <f t="shared" si="7"/>
        <v>12.79388583711488</v>
      </c>
      <c r="D67" s="132" t="s">
        <v>214</v>
      </c>
      <c r="E67" s="128">
        <f>VLOOKUP(D67,Трубы!$C$6:$E$31,2,FALSE)</f>
        <v>80</v>
      </c>
      <c r="F67" s="133">
        <v>88</v>
      </c>
      <c r="G67" s="127">
        <f>F67*VLOOKUP(E67,КМС!$A$4:$C$27,IF($B$14="сальниковый",2,IF($B$14="П-образный",3,0)),FALSE)</f>
        <v>26.4</v>
      </c>
      <c r="H67" s="127">
        <f t="shared" si="10"/>
        <v>114.4</v>
      </c>
      <c r="I67" s="129">
        <f>IF(B67="","",C67*1000/($F$12*3600*3.14*VLOOKUP(D67,Трубы!$C$6:$E$31,3,FALSE)^2)*4*10^6)</f>
        <v>0.6935421191832959</v>
      </c>
      <c r="J67" s="127">
        <f>IF(B67="","",0.11*($F$13/VLOOKUP(D67,Трубы!$C$6:$E$31,3,FALSE)+68/(I67*VLOOKUP(D67,Трубы!$C$6:$E$31,3,FALSE)*1000/$F$11))^0.25*$F$12*I67^2/(2*VLOOKUP(D67,Трубы!$C$6:$E$31,3,FALSE)/1000))</f>
        <v>89.010238081487</v>
      </c>
      <c r="K67" s="130">
        <f t="shared" si="11"/>
        <v>10182.771236522114</v>
      </c>
      <c r="L67" s="129">
        <f t="shared" si="12"/>
        <v>4.355265738327595</v>
      </c>
    </row>
    <row r="68" spans="1:12" ht="15.75">
      <c r="A68" s="132" t="s">
        <v>386</v>
      </c>
      <c r="B68" s="132">
        <v>373</v>
      </c>
      <c r="C68" s="127">
        <f t="shared" si="7"/>
        <v>12.828278003343684</v>
      </c>
      <c r="D68" s="132" t="s">
        <v>214</v>
      </c>
      <c r="E68" s="128">
        <f>VLOOKUP(D68,Трубы!$C$6:$E$31,2,FALSE)</f>
        <v>80</v>
      </c>
      <c r="F68" s="133">
        <v>89</v>
      </c>
      <c r="G68" s="127">
        <f>F68*VLOOKUP(E68,КМС!$A$4:$C$27,IF($B$14="сальниковый",2,IF($B$14="П-образный",3,0)),FALSE)</f>
        <v>26.7</v>
      </c>
      <c r="H68" s="127">
        <f t="shared" si="10"/>
        <v>115.7</v>
      </c>
      <c r="I68" s="129">
        <f>IF(B68="","",C68*1000/($F$12*3600*3.14*VLOOKUP(D68,Трубы!$C$6:$E$31,3,FALSE)^2)*4*10^6)</f>
        <v>0.6954064797187348</v>
      </c>
      <c r="J68" s="127">
        <f>IF(B68="","",0.11*($F$13/VLOOKUP(D68,Трубы!$C$6:$E$31,3,FALSE)+68/(I68*VLOOKUP(D68,Трубы!$C$6:$E$31,3,FALSE)*1000/$F$11))^0.25*$F$12*I68^2/(2*VLOOKUP(D68,Трубы!$C$6:$E$31,3,FALSE)/1000))</f>
        <v>89.48551677926521</v>
      </c>
      <c r="K68" s="130">
        <f t="shared" si="11"/>
        <v>10353.474291360984</v>
      </c>
      <c r="L68" s="129">
        <f t="shared" si="12"/>
        <v>5.629617454660071</v>
      </c>
    </row>
    <row r="69" spans="1:12" ht="15.75">
      <c r="A69" s="132" t="s">
        <v>387</v>
      </c>
      <c r="B69" s="132">
        <v>374</v>
      </c>
      <c r="C69" s="127">
        <f t="shared" si="7"/>
        <v>12.862670169572485</v>
      </c>
      <c r="D69" s="132" t="s">
        <v>214</v>
      </c>
      <c r="E69" s="128">
        <f>VLOOKUP(D69,Трубы!$C$6:$E$31,2,FALSE)</f>
        <v>80</v>
      </c>
      <c r="F69" s="133">
        <v>90</v>
      </c>
      <c r="G69" s="127">
        <f>F69*VLOOKUP(E69,КМС!$A$4:$C$27,IF($B$14="сальниковый",2,IF($B$14="П-образный",3,0)),FALSE)</f>
        <v>27</v>
      </c>
      <c r="H69" s="127">
        <f t="shared" si="10"/>
        <v>117</v>
      </c>
      <c r="I69" s="129">
        <f>IF(B69="","",C69*1000/($F$12*3600*3.14*VLOOKUP(D69,Трубы!$C$6:$E$31,3,FALSE)^2)*4*10^6)</f>
        <v>0.6972708402541739</v>
      </c>
      <c r="J69" s="127">
        <f>IF(B69="","",0.11*($F$13/VLOOKUP(D69,Трубы!$C$6:$E$31,3,FALSE)+68/(I69*VLOOKUP(D69,Трубы!$C$6:$E$31,3,FALSE)*1000/$F$11))^0.25*$F$12*I69^2/(2*VLOOKUP(D69,Трубы!$C$6:$E$31,3,FALSE)/1000))</f>
        <v>89.96206040099287</v>
      </c>
      <c r="K69" s="130">
        <f t="shared" si="11"/>
        <v>10525.561066916165</v>
      </c>
      <c r="L69" s="129">
        <f t="shared" si="12"/>
        <v>2.173663221719444</v>
      </c>
    </row>
    <row r="70" spans="1:12" ht="15.75">
      <c r="A70" s="132" t="s">
        <v>388</v>
      </c>
      <c r="B70" s="132">
        <v>375</v>
      </c>
      <c r="C70" s="127">
        <f t="shared" si="7"/>
        <v>12.897062335801289</v>
      </c>
      <c r="D70" s="132" t="s">
        <v>214</v>
      </c>
      <c r="E70" s="128">
        <f>VLOOKUP(D70,Трубы!$C$6:$E$31,2,FALSE)</f>
        <v>80</v>
      </c>
      <c r="F70" s="133">
        <v>91</v>
      </c>
      <c r="G70" s="127">
        <f>F70*VLOOKUP(E70,КМС!$A$4:$C$27,IF($B$14="сальниковый",2,IF($B$14="П-образный",3,0)),FALSE)</f>
        <v>27.3</v>
      </c>
      <c r="H70" s="127">
        <f t="shared" si="10"/>
        <v>118.3</v>
      </c>
      <c r="I70" s="129">
        <f>IF(B70="","",C70*1000/($F$12*3600*3.14*VLOOKUP(D70,Трубы!$C$6:$E$31,3,FALSE)^2)*4*10^6)</f>
        <v>0.6991352007896128</v>
      </c>
      <c r="J70" s="127">
        <f>IF(B70="","",0.11*($F$13/VLOOKUP(D70,Трубы!$C$6:$E$31,3,FALSE)+68/(I70*VLOOKUP(D70,Трубы!$C$6:$E$31,3,FALSE)*1000/$F$11))^0.25*$F$12*I70^2/(2*VLOOKUP(D70,Трубы!$C$6:$E$31,3,FALSE)/1000))</f>
        <v>90.43986894651464</v>
      </c>
      <c r="K70" s="130">
        <f t="shared" si="11"/>
        <v>10699.03649637268</v>
      </c>
      <c r="L70" s="129">
        <f t="shared" si="12"/>
        <v>2.9538505194810725</v>
      </c>
    </row>
    <row r="71" spans="1:12" ht="15.75">
      <c r="A71" s="132" t="s">
        <v>389</v>
      </c>
      <c r="B71" s="132">
        <v>376</v>
      </c>
      <c r="C71" s="127">
        <f t="shared" si="7"/>
        <v>12.931454502030093</v>
      </c>
      <c r="D71" s="132" t="s">
        <v>214</v>
      </c>
      <c r="E71" s="128">
        <f>VLOOKUP(D71,Трубы!$C$6:$E$31,2,FALSE)</f>
        <v>80</v>
      </c>
      <c r="F71" s="133">
        <v>92</v>
      </c>
      <c r="G71" s="127">
        <f>F71*VLOOKUP(E71,КМС!$A$4:$C$27,IF($B$14="сальниковый",2,IF($B$14="П-образный",3,0)),FALSE)</f>
        <v>27.599999999999998</v>
      </c>
      <c r="H71" s="127">
        <f t="shared" si="10"/>
        <v>119.6</v>
      </c>
      <c r="I71" s="129">
        <f>IF(B71="","",C71*1000/($F$12*3600*3.14*VLOOKUP(D71,Трубы!$C$6:$E$31,3,FALSE)^2)*4*10^6)</f>
        <v>0.7009995613250517</v>
      </c>
      <c r="J71" s="127">
        <f>IF(B71="","",0.11*($F$13/VLOOKUP(D71,Трубы!$C$6:$E$31,3,FALSE)+68/(I71*VLOOKUP(D71,Трубы!$C$6:$E$31,3,FALSE)*1000/$F$11))^0.25*$F$12*I71^2/(2*VLOOKUP(D71,Трубы!$C$6:$E$31,3,FALSE)/1000))</f>
        <v>90.91894241567692</v>
      </c>
      <c r="K71" s="130">
        <f t="shared" si="11"/>
        <v>10873.90551291496</v>
      </c>
      <c r="L71" s="129">
        <f t="shared" si="12"/>
        <v>3.274682459433039</v>
      </c>
    </row>
    <row r="72" spans="1:12" ht="15.75">
      <c r="A72" s="132" t="s">
        <v>390</v>
      </c>
      <c r="B72" s="132">
        <v>377</v>
      </c>
      <c r="C72" s="127">
        <f t="shared" si="7"/>
        <v>12.965846668258896</v>
      </c>
      <c r="D72" s="132" t="s">
        <v>214</v>
      </c>
      <c r="E72" s="128">
        <f>VLOOKUP(D72,Трубы!$C$6:$E$31,2,FALSE)</f>
        <v>80</v>
      </c>
      <c r="F72" s="133">
        <v>93</v>
      </c>
      <c r="G72" s="127">
        <f>F72*VLOOKUP(E72,КМС!$A$4:$C$27,IF($B$14="сальниковый",2,IF($B$14="П-образный",3,0)),FALSE)</f>
        <v>27.9</v>
      </c>
      <c r="H72" s="127">
        <f t="shared" si="10"/>
        <v>120.9</v>
      </c>
      <c r="I72" s="129">
        <f>IF(B72="","",C72*1000/($F$12*3600*3.14*VLOOKUP(D72,Трубы!$C$6:$E$31,3,FALSE)^2)*4*10^6)</f>
        <v>0.7028639218604907</v>
      </c>
      <c r="J72" s="127">
        <f>IF(B72="","",0.11*($F$13/VLOOKUP(D72,Трубы!$C$6:$E$31,3,FALSE)+68/(I72*VLOOKUP(D72,Трубы!$C$6:$E$31,3,FALSE)*1000/$F$11))^0.25*$F$12*I72^2/(2*VLOOKUP(D72,Трубы!$C$6:$E$31,3,FALSE)/1000))</f>
        <v>91.39928080832757</v>
      </c>
      <c r="K72" s="130">
        <f t="shared" si="11"/>
        <v>11050.173049726804</v>
      </c>
      <c r="L72" s="129">
        <f t="shared" si="12"/>
        <v>4.892477759717934</v>
      </c>
    </row>
    <row r="73" spans="1:12" ht="15.75">
      <c r="A73" s="132" t="s">
        <v>391</v>
      </c>
      <c r="B73" s="132">
        <v>378</v>
      </c>
      <c r="C73" s="127">
        <f t="shared" si="7"/>
        <v>13.0002388344877</v>
      </c>
      <c r="D73" s="132" t="s">
        <v>214</v>
      </c>
      <c r="E73" s="128">
        <f>VLOOKUP(D73,Трубы!$C$6:$E$31,2,FALSE)</f>
        <v>80</v>
      </c>
      <c r="F73" s="133">
        <v>94</v>
      </c>
      <c r="G73" s="127">
        <f>F73*VLOOKUP(E73,КМС!$A$4:$C$27,IF($B$14="сальниковый",2,IF($B$14="П-образный",3,0)),FALSE)</f>
        <v>28.2</v>
      </c>
      <c r="H73" s="127">
        <f t="shared" si="10"/>
        <v>122.2</v>
      </c>
      <c r="I73" s="129">
        <f>IF(B73="","",C73*1000/($F$12*3600*3.14*VLOOKUP(D73,Трубы!$C$6:$E$31,3,FALSE)^2)*4*10^6)</f>
        <v>0.7047282823959297</v>
      </c>
      <c r="J73" s="127">
        <f>IF(B73="","",0.11*($F$13/VLOOKUP(D73,Трубы!$C$6:$E$31,3,FALSE)+68/(I73*VLOOKUP(D73,Трубы!$C$6:$E$31,3,FALSE)*1000/$F$11))^0.25*$F$12*I73^2/(2*VLOOKUP(D73,Трубы!$C$6:$E$31,3,FALSE)/1000))</f>
        <v>91.88088412431608</v>
      </c>
      <c r="K73" s="130">
        <f t="shared" si="11"/>
        <v>11227.844039991425</v>
      </c>
      <c r="L73" s="129">
        <f t="shared" si="12"/>
        <v>6.417637902110607</v>
      </c>
    </row>
    <row r="74" spans="1:12" ht="15.75">
      <c r="A74" s="132" t="s">
        <v>392</v>
      </c>
      <c r="B74" s="132">
        <v>379</v>
      </c>
      <c r="C74" s="127">
        <f t="shared" si="7"/>
        <v>13.034631000716503</v>
      </c>
      <c r="D74" s="132" t="s">
        <v>214</v>
      </c>
      <c r="E74" s="128">
        <f>VLOOKUP(D74,Трубы!$C$6:$E$31,2,FALSE)</f>
        <v>80</v>
      </c>
      <c r="F74" s="133">
        <v>95</v>
      </c>
      <c r="G74" s="127">
        <f>F74*VLOOKUP(E74,КМС!$A$4:$C$27,IF($B$14="сальниковый",2,IF($B$14="П-образный",3,0)),FALSE)</f>
        <v>28.5</v>
      </c>
      <c r="H74" s="127">
        <f t="shared" si="10"/>
        <v>123.5</v>
      </c>
      <c r="I74" s="129">
        <f>IF(B74="","",C74*1000/($F$12*3600*3.14*VLOOKUP(D74,Трубы!$C$6:$E$31,3,FALSE)^2)*4*10^6)</f>
        <v>0.7065926429313687</v>
      </c>
      <c r="J74" s="127">
        <f>IF(B74="","",0.11*($F$13/VLOOKUP(D74,Трубы!$C$6:$E$31,3,FALSE)+68/(I74*VLOOKUP(D74,Трубы!$C$6:$E$31,3,FALSE)*1000/$F$11))^0.25*$F$12*I74^2/(2*VLOOKUP(D74,Трубы!$C$6:$E$31,3,FALSE)/1000))</f>
        <v>92.36375236349335</v>
      </c>
      <c r="K74" s="130">
        <f t="shared" si="11"/>
        <v>11406.923416891428</v>
      </c>
      <c r="L74" s="129">
        <f t="shared" si="12"/>
        <v>6.697267992308479</v>
      </c>
    </row>
    <row r="75" spans="1:12" ht="15.75">
      <c r="A75" s="132" t="s">
        <v>393</v>
      </c>
      <c r="B75" s="132">
        <v>380</v>
      </c>
      <c r="C75" s="127">
        <f t="shared" si="7"/>
        <v>13.069023166945307</v>
      </c>
      <c r="D75" s="132" t="s">
        <v>214</v>
      </c>
      <c r="E75" s="128">
        <f>VLOOKUP(D75,Трубы!$C$6:$E$31,2,FALSE)</f>
        <v>80</v>
      </c>
      <c r="F75" s="133">
        <v>96</v>
      </c>
      <c r="G75" s="127">
        <f>F75*VLOOKUP(E75,КМС!$A$4:$C$27,IF($B$14="сальниковый",2,IF($B$14="П-образный",3,0)),FALSE)</f>
        <v>28.799999999999997</v>
      </c>
      <c r="H75" s="127">
        <f t="shared" si="10"/>
        <v>124.8</v>
      </c>
      <c r="I75" s="129">
        <f>IF(B75="","",C75*1000/($F$12*3600*3.14*VLOOKUP(D75,Трубы!$C$6:$E$31,3,FALSE)^2)*4*10^6)</f>
        <v>0.7084570034668076</v>
      </c>
      <c r="J75" s="127">
        <f>IF(B75="","",0.11*($F$13/VLOOKUP(D75,Трубы!$C$6:$E$31,3,FALSE)+68/(I75*VLOOKUP(D75,Трубы!$C$6:$E$31,3,FALSE)*1000/$F$11))^0.25*$F$12*I75^2/(2*VLOOKUP(D75,Трубы!$C$6:$E$31,3,FALSE)/1000))</f>
        <v>92.84788552571183</v>
      </c>
      <c r="K75" s="130">
        <f t="shared" si="11"/>
        <v>11587.416113608837</v>
      </c>
      <c r="L75" s="129">
        <f t="shared" si="12"/>
        <v>2.0688392775705298</v>
      </c>
    </row>
    <row r="76" spans="1:12" ht="15.75">
      <c r="A76" s="132" t="s">
        <v>394</v>
      </c>
      <c r="B76" s="132">
        <v>381</v>
      </c>
      <c r="C76" s="127">
        <f t="shared" si="7"/>
        <v>13.10341533317411</v>
      </c>
      <c r="D76" s="132" t="s">
        <v>214</v>
      </c>
      <c r="E76" s="128">
        <f>VLOOKUP(D76,Трубы!$C$6:$E$31,2,FALSE)</f>
        <v>80</v>
      </c>
      <c r="F76" s="133">
        <v>97</v>
      </c>
      <c r="G76" s="127">
        <f>F76*VLOOKUP(E76,КМС!$A$4:$C$27,IF($B$14="сальниковый",2,IF($B$14="П-образный",3,0)),FALSE)</f>
        <v>29.099999999999998</v>
      </c>
      <c r="H76" s="127">
        <f t="shared" si="10"/>
        <v>126.1</v>
      </c>
      <c r="I76" s="129">
        <f>IF(B76="","",C76*1000/($F$12*3600*3.14*VLOOKUP(D76,Трубы!$C$6:$E$31,3,FALSE)^2)*4*10^6)</f>
        <v>0.7103213640022467</v>
      </c>
      <c r="J76" s="127">
        <f>IF(B76="","",0.11*($F$13/VLOOKUP(D76,Трубы!$C$6:$E$31,3,FALSE)+68/(I76*VLOOKUP(D76,Трубы!$C$6:$E$31,3,FALSE)*1000/$F$11))^0.25*$F$12*I76^2/(2*VLOOKUP(D76,Трубы!$C$6:$E$31,3,FALSE)/1000))</f>
        <v>93.33328361082548</v>
      </c>
      <c r="K76" s="130">
        <f t="shared" si="11"/>
        <v>11769.327063325092</v>
      </c>
      <c r="L76" s="129">
        <f t="shared" si="12"/>
        <v>3.0798062167632185</v>
      </c>
    </row>
    <row r="77" spans="1:12" ht="15.75">
      <c r="A77" s="132" t="s">
        <v>395</v>
      </c>
      <c r="B77" s="132">
        <v>382</v>
      </c>
      <c r="C77" s="127">
        <f t="shared" si="7"/>
        <v>13.137807499402914</v>
      </c>
      <c r="D77" s="132" t="s">
        <v>214</v>
      </c>
      <c r="E77" s="128">
        <f>VLOOKUP(D77,Трубы!$C$6:$E$31,2,FALSE)</f>
        <v>80</v>
      </c>
      <c r="F77" s="133">
        <v>98</v>
      </c>
      <c r="G77" s="127">
        <f>F77*VLOOKUP(E77,КМС!$A$4:$C$27,IF($B$14="сальниковый",2,IF($B$14="П-образный",3,0)),FALSE)</f>
        <v>29.4</v>
      </c>
      <c r="H77" s="127">
        <f t="shared" si="10"/>
        <v>127.4</v>
      </c>
      <c r="I77" s="129">
        <f>IF(B77="","",C77*1000/($F$12*3600*3.14*VLOOKUP(D77,Трубы!$C$6:$E$31,3,FALSE)^2)*4*10^6)</f>
        <v>0.7121857245376856</v>
      </c>
      <c r="J77" s="127">
        <f>IF(B77="","",0.11*($F$13/VLOOKUP(D77,Трубы!$C$6:$E$31,3,FALSE)+68/(I77*VLOOKUP(D77,Трубы!$C$6:$E$31,3,FALSE)*1000/$F$11))^0.25*$F$12*I77^2/(2*VLOOKUP(D77,Трубы!$C$6:$E$31,3,FALSE)/1000))</f>
        <v>93.81994661868967</v>
      </c>
      <c r="K77" s="130">
        <f t="shared" si="11"/>
        <v>11952.661199221064</v>
      </c>
      <c r="L77" s="129">
        <f t="shared" si="12"/>
        <v>3.346492969198129</v>
      </c>
    </row>
    <row r="78" spans="1:12" ht="15.75">
      <c r="A78" s="132" t="s">
        <v>396</v>
      </c>
      <c r="B78" s="132">
        <v>383</v>
      </c>
      <c r="C78" s="127">
        <f t="shared" si="7"/>
        <v>13.172199665631718</v>
      </c>
      <c r="D78" s="132" t="s">
        <v>214</v>
      </c>
      <c r="E78" s="128">
        <f>VLOOKUP(D78,Трубы!$C$6:$E$31,2,FALSE)</f>
        <v>80</v>
      </c>
      <c r="F78" s="133">
        <v>99</v>
      </c>
      <c r="G78" s="127">
        <f>F78*VLOOKUP(E78,КМС!$A$4:$C$27,IF($B$14="сальниковый",2,IF($B$14="П-образный",3,0)),FALSE)</f>
        <v>29.7</v>
      </c>
      <c r="H78" s="127">
        <f t="shared" si="10"/>
        <v>128.7</v>
      </c>
      <c r="I78" s="129">
        <f>IF(B78="","",C78*1000/($F$12*3600*3.14*VLOOKUP(D78,Трубы!$C$6:$E$31,3,FALSE)^2)*4*10^6)</f>
        <v>0.7140500850731245</v>
      </c>
      <c r="J78" s="127">
        <f>IF(B78="","",0.11*($F$13/VLOOKUP(D78,Трубы!$C$6:$E$31,3,FALSE)+68/(I78*VLOOKUP(D78,Трубы!$C$6:$E$31,3,FALSE)*1000/$F$11))^0.25*$F$12*I78^2/(2*VLOOKUP(D78,Трубы!$C$6:$E$31,3,FALSE)/1000))</f>
        <v>94.30787454916126</v>
      </c>
      <c r="K78" s="130">
        <f t="shared" si="11"/>
        <v>12137.423454477052</v>
      </c>
      <c r="L78" s="129">
        <f t="shared" si="12"/>
        <v>3.7707529214286755</v>
      </c>
    </row>
    <row r="79" spans="1:12" ht="15.75">
      <c r="A79" s="132" t="s">
        <v>397</v>
      </c>
      <c r="B79" s="132">
        <v>384</v>
      </c>
      <c r="C79" s="127">
        <f t="shared" si="7"/>
        <v>13.206591831860521</v>
      </c>
      <c r="D79" s="132" t="s">
        <v>214</v>
      </c>
      <c r="E79" s="128">
        <f>VLOOKUP(D79,Трубы!$C$6:$E$31,2,FALSE)</f>
        <v>80</v>
      </c>
      <c r="F79" s="133">
        <v>100</v>
      </c>
      <c r="G79" s="127">
        <f>F79*VLOOKUP(E79,КМС!$A$4:$C$27,IF($B$14="сальниковый",2,IF($B$14="П-образный",3,0)),FALSE)</f>
        <v>30</v>
      </c>
      <c r="H79" s="127">
        <f t="shared" si="10"/>
        <v>130</v>
      </c>
      <c r="I79" s="129">
        <f>IF(B79="","",C79*1000/($F$12*3600*3.14*VLOOKUP(D79,Трубы!$C$6:$E$31,3,FALSE)^2)*4*10^6)</f>
        <v>0.7159144456085635</v>
      </c>
      <c r="J79" s="127">
        <f>IF(B79="","",0.11*($F$13/VLOOKUP(D79,Трубы!$C$6:$E$31,3,FALSE)+68/(I79*VLOOKUP(D79,Трубы!$C$6:$E$31,3,FALSE)*1000/$F$11))^0.25*$F$12*I79^2/(2*VLOOKUP(D79,Трубы!$C$6:$E$31,3,FALSE)/1000))</f>
        <v>94.79706740209852</v>
      </c>
      <c r="K79" s="130">
        <f t="shared" si="11"/>
        <v>12323.618762272808</v>
      </c>
      <c r="L79" s="129">
        <f t="shared" si="12"/>
        <v>2.2093229229178872</v>
      </c>
    </row>
    <row r="80" spans="1:12" ht="15.75">
      <c r="A80" s="132" t="s">
        <v>398</v>
      </c>
      <c r="B80" s="132">
        <v>385</v>
      </c>
      <c r="C80" s="127">
        <f t="shared" si="7"/>
        <v>13.240983998089325</v>
      </c>
      <c r="D80" s="132" t="s">
        <v>214</v>
      </c>
      <c r="E80" s="128">
        <f>VLOOKUP(D80,Трубы!$C$6:$E$31,2,FALSE)</f>
        <v>80</v>
      </c>
      <c r="F80" s="133">
        <v>101</v>
      </c>
      <c r="G80" s="127">
        <f>F80*VLOOKUP(E80,КМС!$A$4:$C$27,IF($B$14="сальниковый",2,IF($B$14="П-образный",3,0)),FALSE)</f>
        <v>30.299999999999997</v>
      </c>
      <c r="H80" s="127">
        <f t="shared" si="10"/>
        <v>131.3</v>
      </c>
      <c r="I80" s="129">
        <f>IF(B80="","",C80*1000/($F$12*3600*3.14*VLOOKUP(D80,Трубы!$C$6:$E$31,3,FALSE)^2)*4*10^6)</f>
        <v>0.7177788061440025</v>
      </c>
      <c r="J80" s="127">
        <f>IF(B80="","",0.11*($F$13/VLOOKUP(D80,Трубы!$C$6:$E$31,3,FALSE)+68/(I80*VLOOKUP(D80,Трубы!$C$6:$E$31,3,FALSE)*1000/$F$11))^0.25*$F$12*I80^2/(2*VLOOKUP(D80,Трубы!$C$6:$E$31,3,FALSE)/1000))</f>
        <v>95.28752517736109</v>
      </c>
      <c r="K80" s="130">
        <f t="shared" si="11"/>
        <v>12511.252055787512</v>
      </c>
      <c r="L80" s="129">
        <f t="shared" si="12"/>
        <v>6.770025899652952</v>
      </c>
    </row>
    <row r="81" spans="1:12" ht="15.75">
      <c r="A81" s="132" t="s">
        <v>399</v>
      </c>
      <c r="B81" s="132">
        <v>386</v>
      </c>
      <c r="C81" s="127">
        <f t="shared" si="7"/>
        <v>13.275376164318127</v>
      </c>
      <c r="D81" s="132" t="s">
        <v>214</v>
      </c>
      <c r="E81" s="128">
        <f>VLOOKUP(D81,Трубы!$C$6:$E$31,2,FALSE)</f>
        <v>80</v>
      </c>
      <c r="F81" s="133">
        <v>102</v>
      </c>
      <c r="G81" s="127">
        <f>F81*VLOOKUP(E81,КМС!$A$4:$C$27,IF($B$14="сальниковый",2,IF($B$14="П-образный",3,0)),FALSE)</f>
        <v>30.599999999999998</v>
      </c>
      <c r="H81" s="127">
        <f t="shared" si="10"/>
        <v>132.6</v>
      </c>
      <c r="I81" s="129">
        <f>IF(B81="","",C81*1000/($F$12*3600*3.14*VLOOKUP(D81,Трубы!$C$6:$E$31,3,FALSE)^2)*4*10^6)</f>
        <v>0.7196431666794414</v>
      </c>
      <c r="J81" s="127">
        <f>IF(B81="","",0.11*($F$13/VLOOKUP(D81,Трубы!$C$6:$E$31,3,FALSE)+68/(I81*VLOOKUP(D81,Трубы!$C$6:$E$31,3,FALSE)*1000/$F$11))^0.25*$F$12*I81^2/(2*VLOOKUP(D81,Трубы!$C$6:$E$31,3,FALSE)/1000))</f>
        <v>95.77924787481007</v>
      </c>
      <c r="K81" s="130">
        <f t="shared" si="11"/>
        <v>12700.328268199815</v>
      </c>
      <c r="L81" s="129">
        <f t="shared" si="12"/>
        <v>6.981169061269789</v>
      </c>
    </row>
    <row r="82" spans="1:12" ht="15.75">
      <c r="A82" s="132" t="s">
        <v>400</v>
      </c>
      <c r="B82" s="132">
        <v>387</v>
      </c>
      <c r="C82" s="127">
        <f t="shared" si="7"/>
        <v>13.30976833054693</v>
      </c>
      <c r="D82" s="132" t="s">
        <v>214</v>
      </c>
      <c r="E82" s="128">
        <f>VLOOKUP(D82,Трубы!$C$6:$E$31,2,FALSE)</f>
        <v>80</v>
      </c>
      <c r="F82" s="133">
        <v>103</v>
      </c>
      <c r="G82" s="127">
        <f>F82*VLOOKUP(E82,КМС!$A$4:$C$27,IF($B$14="сальниковый",2,IF($B$14="П-образный",3,0)),FALSE)</f>
        <v>30.9</v>
      </c>
      <c r="H82" s="127">
        <f t="shared" si="10"/>
        <v>133.9</v>
      </c>
      <c r="I82" s="129">
        <f>IF(B82="","",C82*1000/($F$12*3600*3.14*VLOOKUP(D82,Трубы!$C$6:$E$31,3,FALSE)^2)*4*10^6)</f>
        <v>0.7215075272148804</v>
      </c>
      <c r="J82" s="127">
        <f>IF(B82="","",0.11*($F$13/VLOOKUP(D82,Трубы!$C$6:$E$31,3,FALSE)+68/(I82*VLOOKUP(D82,Трубы!$C$6:$E$31,3,FALSE)*1000/$F$11))^0.25*$F$12*I82^2/(2*VLOOKUP(D82,Трубы!$C$6:$E$31,3,FALSE)/1000))</f>
        <v>96.27223549430794</v>
      </c>
      <c r="K82" s="130">
        <f t="shared" si="11"/>
        <v>12890.852332687833</v>
      </c>
      <c r="L82" s="129">
        <f t="shared" si="12"/>
        <v>7.746240355519084</v>
      </c>
    </row>
    <row r="83" spans="1:12" ht="15.75">
      <c r="A83" s="132" t="s">
        <v>401</v>
      </c>
      <c r="B83" s="132">
        <v>388</v>
      </c>
      <c r="C83" s="127">
        <f t="shared" si="7"/>
        <v>13.344160496775734</v>
      </c>
      <c r="D83" s="132" t="s">
        <v>214</v>
      </c>
      <c r="E83" s="128">
        <f>VLOOKUP(D83,Трубы!$C$6:$E$31,2,FALSE)</f>
        <v>80</v>
      </c>
      <c r="F83" s="133">
        <v>104</v>
      </c>
      <c r="G83" s="127">
        <f>F83*VLOOKUP(E83,КМС!$A$4:$C$27,IF($B$14="сальниковый",2,IF($B$14="П-образный",3,0)),FALSE)</f>
        <v>31.2</v>
      </c>
      <c r="H83" s="127">
        <f t="shared" si="10"/>
        <v>135.2</v>
      </c>
      <c r="I83" s="129">
        <f>IF(B83="","",C83*1000/($F$12*3600*3.14*VLOOKUP(D83,Трубы!$C$6:$E$31,3,FALSE)^2)*4*10^6)</f>
        <v>0.7233718877503194</v>
      </c>
      <c r="J83" s="127">
        <f>IF(B83="","",0.11*($F$13/VLOOKUP(D83,Трубы!$C$6:$E$31,3,FALSE)+68/(I83*VLOOKUP(D83,Трубы!$C$6:$E$31,3,FALSE)*1000/$F$11))^0.25*$F$12*I83^2/(2*VLOOKUP(D83,Трубы!$C$6:$E$31,3,FALSE)/1000))</f>
        <v>96.76648803571837</v>
      </c>
      <c r="K83" s="130">
        <f t="shared" si="11"/>
        <v>13082.829182429123</v>
      </c>
      <c r="L83" s="129">
        <f t="shared" si="12"/>
        <v>6.037929243221813</v>
      </c>
    </row>
    <row r="84" spans="1:12" ht="15.75">
      <c r="A84" s="132" t="s">
        <v>402</v>
      </c>
      <c r="B84" s="132">
        <v>389</v>
      </c>
      <c r="C84" s="127">
        <f t="shared" si="7"/>
        <v>13.378552663004537</v>
      </c>
      <c r="D84" s="132" t="s">
        <v>214</v>
      </c>
      <c r="E84" s="128">
        <f>VLOOKUP(D84,Трубы!$C$6:$E$31,2,FALSE)</f>
        <v>80</v>
      </c>
      <c r="F84" s="133">
        <v>105</v>
      </c>
      <c r="G84" s="127">
        <f>F84*VLOOKUP(E84,КМС!$A$4:$C$27,IF($B$14="сальниковый",2,IF($B$14="П-образный",3,0)),FALSE)</f>
        <v>31.5</v>
      </c>
      <c r="H84" s="127">
        <f t="shared" si="10"/>
        <v>136.5</v>
      </c>
      <c r="I84" s="129">
        <f>IF(B84="","",C84*1000/($F$12*3600*3.14*VLOOKUP(D84,Трубы!$C$6:$E$31,3,FALSE)^2)*4*10^6)</f>
        <v>0.7252362482857583</v>
      </c>
      <c r="J84" s="127">
        <f>IF(B84="","",0.11*($F$13/VLOOKUP(D84,Трубы!$C$6:$E$31,3,FALSE)+68/(I84*VLOOKUP(D84,Трубы!$C$6:$E$31,3,FALSE)*1000/$F$11))^0.25*$F$12*I84^2/(2*VLOOKUP(D84,Трубы!$C$6:$E$31,3,FALSE)/1000))</f>
        <v>97.2620054989066</v>
      </c>
      <c r="K84" s="130">
        <f t="shared" si="11"/>
        <v>13276.263750600752</v>
      </c>
      <c r="L84" s="129">
        <f t="shared" si="12"/>
        <v>5.708605570193114</v>
      </c>
    </row>
    <row r="85" spans="1:12" ht="15.75">
      <c r="A85" s="132" t="s">
        <v>403</v>
      </c>
      <c r="B85" s="132">
        <v>390</v>
      </c>
      <c r="C85" s="127">
        <f t="shared" si="7"/>
        <v>13.412944829233341</v>
      </c>
      <c r="D85" s="132" t="s">
        <v>214</v>
      </c>
      <c r="E85" s="128">
        <f>VLOOKUP(D85,Трубы!$C$6:$E$31,2,FALSE)</f>
        <v>80</v>
      </c>
      <c r="F85" s="133">
        <v>106</v>
      </c>
      <c r="G85" s="127">
        <f>F85*VLOOKUP(E85,КМС!$A$4:$C$27,IF($B$14="сальниковый",2,IF($B$14="П-образный",3,0)),FALSE)</f>
        <v>31.799999999999997</v>
      </c>
      <c r="H85" s="127">
        <f t="shared" si="10"/>
        <v>137.8</v>
      </c>
      <c r="I85" s="129">
        <f>IF(B85="","",C85*1000/($F$12*3600*3.14*VLOOKUP(D85,Трубы!$C$6:$E$31,3,FALSE)^2)*4*10^6)</f>
        <v>0.7271006088211973</v>
      </c>
      <c r="J85" s="127">
        <f>IF(B85="","",0.11*($F$13/VLOOKUP(D85,Трубы!$C$6:$E$31,3,FALSE)+68/(I85*VLOOKUP(D85,Трубы!$C$6:$E$31,3,FALSE)*1000/$F$11))^0.25*$F$12*I85^2/(2*VLOOKUP(D85,Трубы!$C$6:$E$31,3,FALSE)/1000))</f>
        <v>97.75878788373913</v>
      </c>
      <c r="K85" s="130">
        <f t="shared" si="11"/>
        <v>13471.160970379253</v>
      </c>
      <c r="L85" s="129">
        <f t="shared" si="12"/>
        <v>7.0028244852797705</v>
      </c>
    </row>
    <row r="86" spans="1:12" ht="15.75">
      <c r="A86" s="132" t="s">
        <v>404</v>
      </c>
      <c r="B86" s="132">
        <v>391</v>
      </c>
      <c r="C86" s="127">
        <f t="shared" si="7"/>
        <v>13.447336995462145</v>
      </c>
      <c r="D86" s="132" t="s">
        <v>214</v>
      </c>
      <c r="E86" s="128">
        <f>VLOOKUP(D86,Трубы!$C$6:$E$31,2,FALSE)</f>
        <v>80</v>
      </c>
      <c r="F86" s="133">
        <v>107</v>
      </c>
      <c r="G86" s="127">
        <f>F86*VLOOKUP(E86,КМС!$A$4:$C$27,IF($B$14="сальниковый",2,IF($B$14="П-образный",3,0)),FALSE)</f>
        <v>32.1</v>
      </c>
      <c r="H86" s="127">
        <f t="shared" si="10"/>
        <v>139.1</v>
      </c>
      <c r="I86" s="129">
        <f>IF(B86="","",C86*1000/($F$12*3600*3.14*VLOOKUP(D86,Трубы!$C$6:$E$31,3,FALSE)^2)*4*10^6)</f>
        <v>0.7289649693566362</v>
      </c>
      <c r="J86" s="127">
        <f>IF(B86="","",0.11*($F$13/VLOOKUP(D86,Трубы!$C$6:$E$31,3,FALSE)+68/(I86*VLOOKUP(D86,Трубы!$C$6:$E$31,3,FALSE)*1000/$F$11))^0.25*$F$12*I86^2/(2*VLOOKUP(D86,Трубы!$C$6:$E$31,3,FALSE)/1000))</f>
        <v>98.2568351900836</v>
      </c>
      <c r="K86" s="130">
        <f t="shared" si="11"/>
        <v>13667.525774940628</v>
      </c>
      <c r="L86" s="129">
        <f t="shared" si="12"/>
        <v>3.5668870519886213</v>
      </c>
    </row>
    <row r="87" spans="1:12" ht="15.75">
      <c r="A87" s="132" t="s">
        <v>405</v>
      </c>
      <c r="B87" s="132">
        <v>392</v>
      </c>
      <c r="C87" s="127">
        <f t="shared" si="7"/>
        <v>13.481729161690948</v>
      </c>
      <c r="D87" s="132" t="s">
        <v>214</v>
      </c>
      <c r="E87" s="128">
        <f>VLOOKUP(D87,Трубы!$C$6:$E$31,2,FALSE)</f>
        <v>80</v>
      </c>
      <c r="F87" s="133">
        <v>108</v>
      </c>
      <c r="G87" s="127">
        <f>F87*VLOOKUP(E87,КМС!$A$4:$C$27,IF($B$14="сальниковый",2,IF($B$14="П-образный",3,0)),FALSE)</f>
        <v>32.4</v>
      </c>
      <c r="H87" s="127">
        <f t="shared" si="10"/>
        <v>140.4</v>
      </c>
      <c r="I87" s="129">
        <f>IF(B87="","",C87*1000/($F$12*3600*3.14*VLOOKUP(D87,Трубы!$C$6:$E$31,3,FALSE)^2)*4*10^6)</f>
        <v>0.7308293298920753</v>
      </c>
      <c r="J87" s="127">
        <f>IF(B87="","",0.11*($F$13/VLOOKUP(D87,Трубы!$C$6:$E$31,3,FALSE)+68/(I87*VLOOKUP(D87,Трубы!$C$6:$E$31,3,FALSE)*1000/$F$11))^0.25*$F$12*I87^2/(2*VLOOKUP(D87,Трубы!$C$6:$E$31,3,FALSE)/1000))</f>
        <v>98.75614741780913</v>
      </c>
      <c r="K87" s="130">
        <f t="shared" si="11"/>
        <v>13865.363097460402</v>
      </c>
      <c r="L87" s="129">
        <f t="shared" si="12"/>
        <v>4.367241253167148</v>
      </c>
    </row>
    <row r="88" spans="1:12" ht="15.75">
      <c r="A88" s="132" t="s">
        <v>406</v>
      </c>
      <c r="B88" s="132">
        <v>393</v>
      </c>
      <c r="C88" s="127">
        <f t="shared" si="7"/>
        <v>13.516121327919752</v>
      </c>
      <c r="D88" s="132" t="s">
        <v>214</v>
      </c>
      <c r="E88" s="128">
        <f>VLOOKUP(D88,Трубы!$C$6:$E$31,2,FALSE)</f>
        <v>80</v>
      </c>
      <c r="F88" s="133">
        <v>109</v>
      </c>
      <c r="G88" s="127">
        <f>F88*VLOOKUP(E88,КМС!$A$4:$C$27,IF($B$14="сальниковый",2,IF($B$14="П-образный",3,0)),FALSE)</f>
        <v>32.699999999999996</v>
      </c>
      <c r="H88" s="127">
        <f t="shared" si="10"/>
        <v>141.7</v>
      </c>
      <c r="I88" s="129">
        <f>IF(B88="","",C88*1000/($F$12*3600*3.14*VLOOKUP(D88,Трубы!$C$6:$E$31,3,FALSE)^2)*4*10^6)</f>
        <v>0.7326936904275142</v>
      </c>
      <c r="J88" s="127">
        <f>IF(B88="","",0.11*($F$13/VLOOKUP(D88,Трубы!$C$6:$E$31,3,FALSE)+68/(I88*VLOOKUP(D88,Трубы!$C$6:$E$31,3,FALSE)*1000/$F$11))^0.25*$F$12*I88^2/(2*VLOOKUP(D88,Трубы!$C$6:$E$31,3,FALSE)/1000))</f>
        <v>99.2567245667861</v>
      </c>
      <c r="K88" s="130">
        <f t="shared" si="11"/>
        <v>14064.67787111359</v>
      </c>
      <c r="L88" s="129">
        <f t="shared" si="12"/>
        <v>4.708390703175505</v>
      </c>
    </row>
  </sheetData>
  <sheetProtection password="CE28" sheet="1" objects="1" scenarios="1"/>
  <mergeCells count="22">
    <mergeCell ref="A45:L45"/>
    <mergeCell ref="D17:E17"/>
    <mergeCell ref="C17:C18"/>
    <mergeCell ref="B17:B18"/>
    <mergeCell ref="A31:L31"/>
    <mergeCell ref="I17:I18"/>
    <mergeCell ref="J17:K17"/>
    <mergeCell ref="L17:L18"/>
    <mergeCell ref="A17:A18"/>
    <mergeCell ref="A38:L38"/>
    <mergeCell ref="B14:C14"/>
    <mergeCell ref="A11:E11"/>
    <mergeCell ref="A19:L19"/>
    <mergeCell ref="F17:H17"/>
    <mergeCell ref="A41:L41"/>
    <mergeCell ref="A12:E12"/>
    <mergeCell ref="A13:E13"/>
    <mergeCell ref="A16:L16"/>
    <mergeCell ref="A7:F7"/>
    <mergeCell ref="A8:E8"/>
    <mergeCell ref="A9:E9"/>
    <mergeCell ref="A10:E10"/>
  </mergeCells>
  <dataValidations count="3">
    <dataValidation errorStyle="warning" allowBlank="1" sqref="G46:G88 G39:G40 G42:G44 G32:G37 G20:G29"/>
    <dataValidation errorStyle="warning" type="list" allowBlank="1" showErrorMessage="1" sqref="D20:D29 D32:D37 D39:D40 D42:D44 D46:D88">
      <formula1>Диаметр_наружный</formula1>
    </dataValidation>
    <dataValidation type="list" allowBlank="1" showInputMessage="1" showErrorMessage="1" sqref="B14">
      <formula1>"сальниковый, П-образный"</formula1>
    </dataValidation>
  </dataValidations>
  <printOptions/>
  <pageMargins left="0.2755905511811024" right="0.2755905511811024" top="0.984251968503937" bottom="0.98425196850393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M36"/>
  <sheetViews>
    <sheetView view="pageBreakPreview" zoomScaleSheetLayoutView="100" zoomScalePageLayoutView="0" workbookViewId="0" topLeftCell="A19">
      <selection activeCell="G11" sqref="G11"/>
    </sheetView>
  </sheetViews>
  <sheetFormatPr defaultColWidth="8.00390625" defaultRowHeight="15.75"/>
  <cols>
    <col min="1" max="1" width="8.00390625" style="57" customWidth="1"/>
    <col min="2" max="3" width="9.375" style="57" customWidth="1"/>
    <col min="4" max="4" width="8.00390625" style="57" customWidth="1"/>
    <col min="5" max="5" width="8.375" style="57" bestFit="1" customWidth="1"/>
    <col min="6" max="7" width="8.00390625" style="57" customWidth="1"/>
    <col min="8" max="8" width="11.625" style="57" customWidth="1"/>
    <col min="9" max="9" width="14.75390625" style="57" customWidth="1"/>
    <col min="10" max="10" width="3.625" style="57" customWidth="1"/>
    <col min="11" max="11" width="10.875" style="57" customWidth="1"/>
    <col min="12" max="12" width="10.50390625" style="57" customWidth="1"/>
    <col min="13" max="13" width="8.75390625" style="57" customWidth="1"/>
    <col min="14" max="16384" width="8.00390625" style="57" customWidth="1"/>
  </cols>
  <sheetData>
    <row r="5" spans="2:13" ht="109.5" customHeight="1">
      <c r="B5" s="56" t="s">
        <v>219</v>
      </c>
      <c r="C5" s="55" t="s">
        <v>252</v>
      </c>
      <c r="D5" s="55" t="s">
        <v>253</v>
      </c>
      <c r="E5" s="55" t="s">
        <v>259</v>
      </c>
      <c r="H5" s="305" t="s">
        <v>374</v>
      </c>
      <c r="I5" s="305"/>
      <c r="J5" s="305"/>
      <c r="K5" s="305"/>
      <c r="L5" s="305"/>
      <c r="M5" s="305"/>
    </row>
    <row r="6" spans="2:13" ht="15.75">
      <c r="B6" s="58" t="s">
        <v>220</v>
      </c>
      <c r="C6" s="58" t="s">
        <v>324</v>
      </c>
      <c r="D6" s="59">
        <v>25</v>
      </c>
      <c r="E6" s="59">
        <v>33</v>
      </c>
      <c r="H6" t="s">
        <v>344</v>
      </c>
      <c r="I6"/>
      <c r="J6"/>
      <c r="K6"/>
      <c r="L6"/>
      <c r="M6"/>
    </row>
    <row r="7" spans="2:13" ht="15.75">
      <c r="B7" s="58" t="s">
        <v>221</v>
      </c>
      <c r="C7" s="58" t="s">
        <v>216</v>
      </c>
      <c r="D7" s="59">
        <v>32</v>
      </c>
      <c r="E7" s="59">
        <v>33</v>
      </c>
      <c r="H7" t="s">
        <v>345</v>
      </c>
      <c r="I7" s="137" t="s">
        <v>346</v>
      </c>
      <c r="J7"/>
      <c r="K7"/>
      <c r="L7"/>
      <c r="M7"/>
    </row>
    <row r="8" spans="2:13" ht="18.75">
      <c r="B8" s="58" t="s">
        <v>223</v>
      </c>
      <c r="C8" s="58" t="s">
        <v>222</v>
      </c>
      <c r="D8" s="59">
        <v>40</v>
      </c>
      <c r="E8" s="59">
        <v>40</v>
      </c>
      <c r="H8" s="115" t="s">
        <v>347</v>
      </c>
      <c r="I8" s="134">
        <f>IF(I7="Ст.3",4000,IF(I7="Ст.4",4200,4400))</f>
        <v>4400</v>
      </c>
      <c r="J8"/>
      <c r="K8"/>
      <c r="L8"/>
      <c r="M8"/>
    </row>
    <row r="9" spans="2:13" ht="18.75">
      <c r="B9" s="58" t="s">
        <v>224</v>
      </c>
      <c r="C9" s="58" t="s">
        <v>212</v>
      </c>
      <c r="D9" s="59">
        <v>50</v>
      </c>
      <c r="E9" s="59">
        <v>51</v>
      </c>
      <c r="H9" t="s">
        <v>348</v>
      </c>
      <c r="I9" s="135">
        <v>8</v>
      </c>
      <c r="J9"/>
      <c r="K9"/>
      <c r="L9"/>
      <c r="M9"/>
    </row>
    <row r="10" spans="2:13" ht="15.75">
      <c r="B10" s="58" t="s">
        <v>225</v>
      </c>
      <c r="C10" s="58" t="s">
        <v>217</v>
      </c>
      <c r="D10" s="59">
        <v>70</v>
      </c>
      <c r="E10" s="59">
        <v>70</v>
      </c>
      <c r="H10" s="116" t="s">
        <v>349</v>
      </c>
      <c r="I10" s="136">
        <v>89</v>
      </c>
      <c r="J10"/>
      <c r="K10"/>
      <c r="L10"/>
      <c r="M10"/>
    </row>
    <row r="11" spans="2:13" ht="15.75">
      <c r="B11" s="58"/>
      <c r="C11" s="58" t="s">
        <v>214</v>
      </c>
      <c r="D11" s="59">
        <v>80</v>
      </c>
      <c r="E11" s="59">
        <v>82</v>
      </c>
      <c r="H11" s="116" t="s">
        <v>350</v>
      </c>
      <c r="I11" s="137" t="s">
        <v>351</v>
      </c>
      <c r="J11"/>
      <c r="K11"/>
      <c r="L11"/>
      <c r="M11"/>
    </row>
    <row r="12" spans="2:13" ht="15.75">
      <c r="B12" s="58"/>
      <c r="C12" s="58" t="s">
        <v>211</v>
      </c>
      <c r="D12" s="59">
        <v>100</v>
      </c>
      <c r="E12" s="59">
        <v>100</v>
      </c>
      <c r="H12" s="116" t="s">
        <v>352</v>
      </c>
      <c r="I12" s="137" t="s">
        <v>353</v>
      </c>
      <c r="J12"/>
      <c r="K12"/>
      <c r="L12"/>
      <c r="M12"/>
    </row>
    <row r="13" spans="2:13" ht="15.75">
      <c r="B13" s="58"/>
      <c r="C13" s="58" t="s">
        <v>208</v>
      </c>
      <c r="D13" s="59">
        <v>125</v>
      </c>
      <c r="E13" s="59">
        <v>125</v>
      </c>
      <c r="H13" s="116"/>
      <c r="I13" s="114"/>
      <c r="J13"/>
      <c r="K13"/>
      <c r="L13"/>
      <c r="M13"/>
    </row>
    <row r="14" spans="2:13" ht="15.75">
      <c r="B14" s="58"/>
      <c r="C14" s="58" t="s">
        <v>226</v>
      </c>
      <c r="D14" s="59">
        <v>150</v>
      </c>
      <c r="E14" s="59">
        <v>150</v>
      </c>
      <c r="H14" s="303" t="s">
        <v>354</v>
      </c>
      <c r="I14" s="117" t="s">
        <v>355</v>
      </c>
      <c r="J14" s="153" t="s">
        <v>356</v>
      </c>
      <c r="K14" s="190" t="str">
        <f>1.1&amp;" · "&amp;I9&amp;" · "&amp;I10</f>
        <v>1,1 · 8 · 89</v>
      </c>
      <c r="L14" s="190"/>
      <c r="M14" s="153" t="str">
        <f>" = "&amp;ROUND(1.1*I9*I10/(2*(I8*IF(I11="бесшовные",0.8,0.85)*0.8*IF(I12="разводящие",0.75,0.6)+1.1*I9)),1)&amp;" мм"</f>
        <v> = 0,2 мм</v>
      </c>
    </row>
    <row r="15" spans="2:13" ht="18.75">
      <c r="B15" s="58"/>
      <c r="C15" s="58" t="s">
        <v>227</v>
      </c>
      <c r="D15" s="59">
        <v>175</v>
      </c>
      <c r="E15" s="59">
        <v>184</v>
      </c>
      <c r="H15" s="304"/>
      <c r="I15" s="114" t="s">
        <v>357</v>
      </c>
      <c r="J15" s="153"/>
      <c r="K15" s="232" t="str">
        <f>2&amp;" · ("&amp;ROUND(I8*IF(I11="бесшовные",0.8,0.85)*0.8*IF(I12="разводящие",0.75,0.6),1)&amp;" + 1,1 · "&amp;I9&amp;")"</f>
        <v>2 · (2112 + 1,1 · 8)</v>
      </c>
      <c r="L15" s="232"/>
      <c r="M15" s="153"/>
    </row>
    <row r="16" spans="2:13" ht="15.75">
      <c r="B16" s="58"/>
      <c r="C16" s="58" t="s">
        <v>228</v>
      </c>
      <c r="D16" s="59">
        <v>200</v>
      </c>
      <c r="E16" s="59">
        <v>207</v>
      </c>
      <c r="H16"/>
      <c r="I16"/>
      <c r="J16"/>
      <c r="K16"/>
      <c r="L16"/>
      <c r="M16"/>
    </row>
    <row r="17" spans="2:13" ht="15.75">
      <c r="B17" s="58"/>
      <c r="C17" s="58" t="s">
        <v>229</v>
      </c>
      <c r="D17" s="59">
        <v>250</v>
      </c>
      <c r="E17" s="59">
        <v>259</v>
      </c>
      <c r="H17" s="303" t="s">
        <v>354</v>
      </c>
      <c r="I17" s="117" t="s">
        <v>355</v>
      </c>
      <c r="J17" s="153" t="s">
        <v>356</v>
      </c>
      <c r="K17" s="190" t="str">
        <f>1.1&amp;" · "&amp;I9&amp;" · "&amp;I10</f>
        <v>1,1 · 8 · 89</v>
      </c>
      <c r="L17" s="190"/>
      <c r="M17" s="153" t="str">
        <f>" = "&amp;ROUND(1.1*I9*I10/(2*(0.9*I8+1.1*I9)),1)&amp;" мм"</f>
        <v> = 0,1 мм</v>
      </c>
    </row>
    <row r="18" spans="2:13" ht="20.25">
      <c r="B18" s="58"/>
      <c r="C18" s="58" t="s">
        <v>230</v>
      </c>
      <c r="D18" s="59">
        <v>300</v>
      </c>
      <c r="E18" s="59">
        <v>309</v>
      </c>
      <c r="H18" s="304"/>
      <c r="I18" t="s">
        <v>358</v>
      </c>
      <c r="J18" s="153"/>
      <c r="K18" s="232" t="str">
        <f>2&amp;" · (0,9 · "&amp;I8&amp;" + 1,1 · "&amp;I9&amp;")"</f>
        <v>2 · (0,9 · 4400 + 1,1 · 8)</v>
      </c>
      <c r="L18" s="232"/>
      <c r="M18" s="153"/>
    </row>
    <row r="19" spans="2:13" ht="15.75">
      <c r="B19" s="58"/>
      <c r="C19" s="58" t="s">
        <v>231</v>
      </c>
      <c r="D19" s="59">
        <v>350</v>
      </c>
      <c r="E19" s="59">
        <v>359</v>
      </c>
      <c r="H19"/>
      <c r="I19"/>
      <c r="J19"/>
      <c r="K19"/>
      <c r="L19"/>
      <c r="M19"/>
    </row>
    <row r="20" spans="2:13" ht="15.75">
      <c r="B20" s="58"/>
      <c r="C20" s="58" t="s">
        <v>232</v>
      </c>
      <c r="D20" s="59">
        <v>400</v>
      </c>
      <c r="E20" s="59">
        <v>408</v>
      </c>
      <c r="H20" s="118" t="s">
        <v>359</v>
      </c>
      <c r="I20"/>
      <c r="J20"/>
      <c r="K20"/>
      <c r="L20"/>
      <c r="M20"/>
    </row>
    <row r="21" spans="2:13" ht="15.75">
      <c r="B21" s="58"/>
      <c r="C21" s="58" t="s">
        <v>233</v>
      </c>
      <c r="D21" s="59">
        <v>400</v>
      </c>
      <c r="E21" s="59">
        <v>414</v>
      </c>
      <c r="H21" s="118" t="str">
        <f>"Ро - рабочее давление, равное "&amp;I9&amp;" кГ/см²"</f>
        <v>Ро - рабочее давление, равное 8 кГ/см²</v>
      </c>
      <c r="I21"/>
      <c r="J21"/>
      <c r="K21"/>
      <c r="L21" s="119"/>
      <c r="M21"/>
    </row>
    <row r="22" spans="2:13" ht="15.75">
      <c r="B22" s="58"/>
      <c r="C22" s="58" t="s">
        <v>234</v>
      </c>
      <c r="D22" s="59">
        <v>450</v>
      </c>
      <c r="E22" s="59">
        <v>466</v>
      </c>
      <c r="H22" s="118" t="str">
        <f>"Dн - диаметр трубы наружный, равный "&amp;I10&amp;" мм"</f>
        <v>Dн - диаметр трубы наружный, равный 89 мм</v>
      </c>
      <c r="I22"/>
      <c r="J22"/>
      <c r="K22"/>
      <c r="L22"/>
      <c r="M22"/>
    </row>
    <row r="23" spans="2:13" ht="18" customHeight="1">
      <c r="B23" s="58"/>
      <c r="C23" s="58" t="s">
        <v>235</v>
      </c>
      <c r="D23" s="59">
        <v>500</v>
      </c>
      <c r="E23" s="59">
        <v>514</v>
      </c>
      <c r="H23" s="302" t="s">
        <v>360</v>
      </c>
      <c r="I23" s="302"/>
      <c r="J23" s="302"/>
      <c r="K23" s="302"/>
      <c r="L23" s="302"/>
      <c r="M23" s="302"/>
    </row>
    <row r="24" spans="2:13" ht="18" customHeight="1">
      <c r="B24" s="58"/>
      <c r="C24" s="58" t="s">
        <v>236</v>
      </c>
      <c r="D24" s="59">
        <v>600</v>
      </c>
      <c r="E24" s="59">
        <v>612</v>
      </c>
      <c r="H24" s="302"/>
      <c r="I24" s="302"/>
      <c r="J24" s="302"/>
      <c r="K24" s="302"/>
      <c r="L24" s="302"/>
      <c r="M24" s="302"/>
    </row>
    <row r="25" spans="2:13" ht="18" customHeight="1">
      <c r="B25" s="58"/>
      <c r="C25" s="58" t="s">
        <v>237</v>
      </c>
      <c r="D25" s="59">
        <v>700</v>
      </c>
      <c r="E25" s="59">
        <v>700</v>
      </c>
      <c r="H25" s="302"/>
      <c r="I25" s="302"/>
      <c r="J25" s="302"/>
      <c r="K25" s="302"/>
      <c r="L25" s="302"/>
      <c r="M25" s="302"/>
    </row>
    <row r="26" spans="2:13" ht="18" customHeight="1">
      <c r="B26" s="58"/>
      <c r="C26" s="58" t="s">
        <v>238</v>
      </c>
      <c r="D26" s="59">
        <v>800</v>
      </c>
      <c r="E26" s="59">
        <v>800</v>
      </c>
      <c r="H26" s="302"/>
      <c r="I26" s="302"/>
      <c r="J26" s="302"/>
      <c r="K26" s="302"/>
      <c r="L26" s="302"/>
      <c r="M26" s="302"/>
    </row>
    <row r="27" spans="2:13" ht="15.75">
      <c r="B27" s="58"/>
      <c r="C27" s="58" t="s">
        <v>239</v>
      </c>
      <c r="D27" s="59">
        <v>900</v>
      </c>
      <c r="E27" s="59">
        <v>898</v>
      </c>
      <c r="H27" s="120" t="s">
        <v>361</v>
      </c>
      <c r="I27"/>
      <c r="J27"/>
      <c r="K27"/>
      <c r="L27"/>
      <c r="M27"/>
    </row>
    <row r="28" spans="2:13" ht="20.25">
      <c r="B28" s="58"/>
      <c r="C28" s="58" t="s">
        <v>240</v>
      </c>
      <c r="D28" s="59">
        <v>1000</v>
      </c>
      <c r="E28" s="59">
        <v>996</v>
      </c>
      <c r="H28"/>
      <c r="I28" s="118" t="s">
        <v>362</v>
      </c>
      <c r="J28"/>
      <c r="K28" t="str">
        <f>I8&amp;" · "&amp;IF(I11="бесшовные",0.8,0.85)&amp;" · "&amp;0.8&amp;" · "&amp;IF(I12="разводящие",0.75,0.6)&amp;" = "&amp;ROUND(I8*IF(I11="бесшовные",0.8,0.85)*0.8*IF(I12="разводящие",0.75,0.6),1)&amp;" кГ/см²"</f>
        <v>4400 · 0,8 · 0,8 · 0,75 = 2112 кГ/см²</v>
      </c>
      <c r="L28"/>
      <c r="M28"/>
    </row>
    <row r="29" spans="2:13" ht="18" customHeight="1">
      <c r="B29" s="58"/>
      <c r="C29" s="58" t="s">
        <v>241</v>
      </c>
      <c r="D29" s="59">
        <v>1100</v>
      </c>
      <c r="E29" s="59">
        <v>1096</v>
      </c>
      <c r="H29" s="302" t="s">
        <v>363</v>
      </c>
      <c r="I29" s="302"/>
      <c r="J29" s="302"/>
      <c r="K29" s="302"/>
      <c r="L29" s="302"/>
      <c r="M29" s="302"/>
    </row>
    <row r="30" spans="2:13" ht="18" customHeight="1">
      <c r="B30" s="58"/>
      <c r="C30" s="58" t="s">
        <v>242</v>
      </c>
      <c r="D30" s="59">
        <v>1200</v>
      </c>
      <c r="E30" s="59">
        <v>1192</v>
      </c>
      <c r="H30" s="302"/>
      <c r="I30" s="302"/>
      <c r="J30" s="302"/>
      <c r="K30" s="302"/>
      <c r="L30" s="302"/>
      <c r="M30" s="302"/>
    </row>
    <row r="31" spans="2:13" ht="18" customHeight="1">
      <c r="B31" s="58"/>
      <c r="C31" s="58" t="s">
        <v>243</v>
      </c>
      <c r="D31" s="59">
        <v>1400</v>
      </c>
      <c r="E31" s="59">
        <v>1392</v>
      </c>
      <c r="H31" s="302"/>
      <c r="I31" s="302"/>
      <c r="J31" s="302"/>
      <c r="K31" s="302"/>
      <c r="L31" s="302"/>
      <c r="M31" s="302"/>
    </row>
    <row r="32" spans="2:13" ht="15.75">
      <c r="B32" s="58"/>
      <c r="C32" s="58"/>
      <c r="D32" s="60"/>
      <c r="E32" s="60"/>
      <c r="H32" s="302" t="s">
        <v>364</v>
      </c>
      <c r="I32" s="302"/>
      <c r="J32" s="302"/>
      <c r="K32" s="302"/>
      <c r="L32" s="302"/>
      <c r="M32" s="302"/>
    </row>
    <row r="33" spans="2:13" ht="15.75">
      <c r="B33" s="58"/>
      <c r="C33" s="58"/>
      <c r="D33" s="60"/>
      <c r="E33" s="60"/>
      <c r="H33" s="302"/>
      <c r="I33" s="302"/>
      <c r="J33" s="302"/>
      <c r="K33" s="302"/>
      <c r="L33" s="302"/>
      <c r="M33" s="302"/>
    </row>
    <row r="34" spans="2:13" ht="15.75">
      <c r="B34" s="58"/>
      <c r="C34" s="58"/>
      <c r="D34" s="60"/>
      <c r="E34" s="60"/>
      <c r="H34" s="302" t="s">
        <v>365</v>
      </c>
      <c r="I34" s="302"/>
      <c r="J34" s="302"/>
      <c r="K34" s="302"/>
      <c r="L34" s="302"/>
      <c r="M34" s="302"/>
    </row>
    <row r="35" spans="2:13" ht="15.75">
      <c r="B35" s="58"/>
      <c r="C35" s="58"/>
      <c r="D35" s="60"/>
      <c r="E35" s="60"/>
      <c r="H35" s="302"/>
      <c r="I35" s="302"/>
      <c r="J35" s="302"/>
      <c r="K35" s="302"/>
      <c r="L35" s="302"/>
      <c r="M35" s="302"/>
    </row>
    <row r="36" spans="8:13" ht="15.75">
      <c r="H36" s="302"/>
      <c r="I36" s="302"/>
      <c r="J36" s="302"/>
      <c r="K36" s="302"/>
      <c r="L36" s="302"/>
      <c r="M36" s="302"/>
    </row>
  </sheetData>
  <sheetProtection password="CE28" sheet="1" objects="1" scenarios="1"/>
  <mergeCells count="15">
    <mergeCell ref="H5:M5"/>
    <mergeCell ref="H14:H15"/>
    <mergeCell ref="J14:J15"/>
    <mergeCell ref="K14:L14"/>
    <mergeCell ref="M14:M15"/>
    <mergeCell ref="K15:L15"/>
    <mergeCell ref="H23:M26"/>
    <mergeCell ref="H29:M31"/>
    <mergeCell ref="H32:M33"/>
    <mergeCell ref="H34:M36"/>
    <mergeCell ref="H17:H18"/>
    <mergeCell ref="J17:J18"/>
    <mergeCell ref="K17:L17"/>
    <mergeCell ref="M17:M18"/>
    <mergeCell ref="K18:L18"/>
  </mergeCells>
  <dataValidations count="3">
    <dataValidation type="list" allowBlank="1" showInputMessage="1" showErrorMessage="1" sqref="I12">
      <formula1>"магистральные,разводящие"</formula1>
    </dataValidation>
    <dataValidation type="list" allowBlank="1" showInputMessage="1" showErrorMessage="1" sqref="I11 I13">
      <formula1>"бесшовные,сварные"</formula1>
    </dataValidation>
    <dataValidation type="list" allowBlank="1" showInputMessage="1" showErrorMessage="1" sqref="I7">
      <formula1>"Ст.3,Ст.4,сталь 20"</formula1>
    </dataValidation>
  </dataValidations>
  <printOptions/>
  <pageMargins left="0.75" right="0.75" top="1" bottom="1" header="0.5" footer="0.5"/>
  <pageSetup horizontalDpi="600" verticalDpi="600" orientation="portrait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2">
      <selection activeCell="E10" sqref="E10"/>
    </sheetView>
  </sheetViews>
  <sheetFormatPr defaultColWidth="8.25390625" defaultRowHeight="15.75"/>
  <cols>
    <col min="1" max="1" width="8.25390625" style="98" customWidth="1"/>
    <col min="2" max="3" width="12.625" style="98" customWidth="1"/>
    <col min="4" max="16384" width="8.25390625" style="98" customWidth="1"/>
  </cols>
  <sheetData>
    <row r="2" spans="1:10" ht="19.5" customHeight="1">
      <c r="A2" s="306" t="s">
        <v>325</v>
      </c>
      <c r="B2" s="306" t="s">
        <v>326</v>
      </c>
      <c r="C2" s="223"/>
      <c r="D2" s="97"/>
      <c r="E2" s="101"/>
      <c r="F2" s="101"/>
      <c r="G2" s="101"/>
      <c r="H2" s="102"/>
      <c r="I2" s="99"/>
      <c r="J2" s="99"/>
    </row>
    <row r="3" spans="1:10" ht="19.5" customHeight="1">
      <c r="A3" s="306"/>
      <c r="B3" s="92" t="s">
        <v>327</v>
      </c>
      <c r="C3" s="92" t="s">
        <v>328</v>
      </c>
      <c r="D3" s="101"/>
      <c r="E3" s="101"/>
      <c r="F3" s="101"/>
      <c r="G3" s="101"/>
      <c r="H3" s="93"/>
      <c r="I3" s="99"/>
      <c r="J3" s="99"/>
    </row>
    <row r="4" spans="1:10" ht="19.5" customHeight="1">
      <c r="A4" s="103">
        <v>32</v>
      </c>
      <c r="B4" s="92">
        <v>0.3</v>
      </c>
      <c r="C4" s="92">
        <v>0.3</v>
      </c>
      <c r="D4" s="100"/>
      <c r="E4" s="99"/>
      <c r="F4" s="99"/>
      <c r="G4" s="95"/>
      <c r="H4" s="93"/>
      <c r="I4" s="99"/>
      <c r="J4" s="99"/>
    </row>
    <row r="5" spans="1:10" ht="19.5" customHeight="1">
      <c r="A5" s="103">
        <v>40</v>
      </c>
      <c r="B5" s="92">
        <v>0.3</v>
      </c>
      <c r="C5" s="92">
        <v>0.3</v>
      </c>
      <c r="D5" s="100"/>
      <c r="E5" s="99"/>
      <c r="F5" s="99"/>
      <c r="G5" s="95"/>
      <c r="H5" s="93"/>
      <c r="I5" s="99"/>
      <c r="J5" s="99"/>
    </row>
    <row r="6" spans="1:10" ht="19.5" customHeight="1">
      <c r="A6" s="103">
        <v>50</v>
      </c>
      <c r="B6" s="92">
        <v>0.3</v>
      </c>
      <c r="C6" s="92">
        <v>0.3</v>
      </c>
      <c r="D6" s="100"/>
      <c r="E6" s="99"/>
      <c r="F6" s="99"/>
      <c r="G6" s="95"/>
      <c r="H6" s="93"/>
      <c r="I6" s="99"/>
      <c r="J6" s="99"/>
    </row>
    <row r="7" spans="1:10" ht="19.5" customHeight="1">
      <c r="A7" s="103">
        <v>70</v>
      </c>
      <c r="B7" s="92">
        <v>0.3</v>
      </c>
      <c r="C7" s="92">
        <v>0.3</v>
      </c>
      <c r="D7" s="100"/>
      <c r="E7" s="99"/>
      <c r="F7" s="99"/>
      <c r="G7" s="96"/>
      <c r="H7" s="93"/>
      <c r="I7" s="99"/>
      <c r="J7" s="99"/>
    </row>
    <row r="8" spans="1:10" ht="19.5" customHeight="1">
      <c r="A8" s="103">
        <v>80</v>
      </c>
      <c r="B8" s="92">
        <v>0.3</v>
      </c>
      <c r="C8" s="92">
        <v>0.3</v>
      </c>
      <c r="D8" s="100"/>
      <c r="E8" s="99"/>
      <c r="F8" s="99"/>
      <c r="G8" s="94"/>
      <c r="H8" s="93"/>
      <c r="I8" s="99"/>
      <c r="J8" s="99"/>
    </row>
    <row r="9" spans="1:10" ht="19.5" customHeight="1">
      <c r="A9" s="103">
        <v>100</v>
      </c>
      <c r="B9" s="92">
        <v>0.3</v>
      </c>
      <c r="C9" s="92">
        <v>0.3</v>
      </c>
      <c r="D9" s="100"/>
      <c r="E9" s="99"/>
      <c r="F9" s="99"/>
      <c r="G9" s="93"/>
      <c r="H9" s="93"/>
      <c r="I9" s="99"/>
      <c r="J9" s="99"/>
    </row>
    <row r="10" spans="1:10" ht="19.5" customHeight="1">
      <c r="A10" s="103">
        <v>125</v>
      </c>
      <c r="B10" s="92">
        <v>0.3</v>
      </c>
      <c r="C10" s="92">
        <v>0.3</v>
      </c>
      <c r="D10" s="100"/>
      <c r="E10" s="99"/>
      <c r="F10" s="99"/>
      <c r="G10" s="93"/>
      <c r="H10" s="93"/>
      <c r="I10" s="99"/>
      <c r="J10" s="99"/>
    </row>
    <row r="11" spans="1:10" ht="19.5" customHeight="1">
      <c r="A11" s="103">
        <v>150</v>
      </c>
      <c r="B11" s="92">
        <v>0.3</v>
      </c>
      <c r="C11" s="92">
        <v>0.3</v>
      </c>
      <c r="D11" s="100"/>
      <c r="E11" s="99"/>
      <c r="F11" s="99"/>
      <c r="G11" s="93"/>
      <c r="H11" s="93"/>
      <c r="I11" s="99"/>
      <c r="J11" s="99"/>
    </row>
    <row r="12" spans="1:10" ht="19.5" customHeight="1">
      <c r="A12" s="103">
        <v>175</v>
      </c>
      <c r="B12" s="92">
        <v>0.3</v>
      </c>
      <c r="C12" s="92">
        <v>0.4</v>
      </c>
      <c r="D12" s="100"/>
      <c r="E12" s="99"/>
      <c r="F12" s="99"/>
      <c r="G12" s="93"/>
      <c r="H12" s="93"/>
      <c r="I12" s="99"/>
      <c r="J12" s="99"/>
    </row>
    <row r="13" spans="1:10" ht="19.5" customHeight="1">
      <c r="A13" s="103">
        <v>200</v>
      </c>
      <c r="B13" s="92">
        <v>0.3</v>
      </c>
      <c r="C13" s="92">
        <v>0.4</v>
      </c>
      <c r="D13" s="100"/>
      <c r="E13" s="99"/>
      <c r="F13" s="99"/>
      <c r="G13" s="99"/>
      <c r="H13" s="99"/>
      <c r="I13" s="99"/>
      <c r="J13" s="99"/>
    </row>
    <row r="14" spans="1:10" ht="19.5" customHeight="1">
      <c r="A14" s="103">
        <v>250</v>
      </c>
      <c r="B14" s="92">
        <v>0.3</v>
      </c>
      <c r="C14" s="92">
        <v>0.6</v>
      </c>
      <c r="D14" s="100"/>
      <c r="E14" s="99"/>
      <c r="F14" s="99"/>
      <c r="G14" s="99"/>
      <c r="H14" s="99"/>
      <c r="I14" s="99"/>
      <c r="J14" s="99"/>
    </row>
    <row r="15" spans="1:10" ht="19.5" customHeight="1">
      <c r="A15" s="103">
        <v>300</v>
      </c>
      <c r="B15" s="92">
        <v>0.3</v>
      </c>
      <c r="C15" s="92">
        <v>0.8</v>
      </c>
      <c r="D15" s="100"/>
      <c r="E15" s="99"/>
      <c r="F15" s="99"/>
      <c r="G15" s="99"/>
      <c r="H15" s="99"/>
      <c r="I15" s="99"/>
      <c r="J15" s="99"/>
    </row>
    <row r="16" spans="1:10" ht="19.5" customHeight="1">
      <c r="A16" s="103">
        <v>350</v>
      </c>
      <c r="B16" s="92">
        <v>0.3</v>
      </c>
      <c r="C16" s="92">
        <v>0.8</v>
      </c>
      <c r="D16" s="100"/>
      <c r="E16" s="99"/>
      <c r="F16" s="99"/>
      <c r="G16" s="99"/>
      <c r="H16" s="99"/>
      <c r="I16" s="99"/>
      <c r="J16" s="99"/>
    </row>
    <row r="17" spans="1:10" ht="19.5" customHeight="1">
      <c r="A17" s="103">
        <v>400</v>
      </c>
      <c r="B17" s="92">
        <v>0.3</v>
      </c>
      <c r="C17" s="92">
        <v>0.9</v>
      </c>
      <c r="D17" s="100"/>
      <c r="E17" s="99"/>
      <c r="F17" s="99"/>
      <c r="G17" s="99"/>
      <c r="H17" s="99"/>
      <c r="I17" s="99"/>
      <c r="J17" s="99"/>
    </row>
    <row r="18" spans="1:10" ht="19.5" customHeight="1">
      <c r="A18" s="103">
        <v>450</v>
      </c>
      <c r="B18" s="92">
        <v>0.4</v>
      </c>
      <c r="C18" s="92">
        <v>0.9</v>
      </c>
      <c r="D18" s="100"/>
      <c r="E18" s="99"/>
      <c r="F18" s="99"/>
      <c r="G18" s="99"/>
      <c r="H18" s="99"/>
      <c r="I18" s="99"/>
      <c r="J18" s="99"/>
    </row>
    <row r="19" spans="1:10" ht="19.5" customHeight="1">
      <c r="A19" s="103">
        <v>500</v>
      </c>
      <c r="B19" s="92">
        <v>0.4</v>
      </c>
      <c r="C19" s="92">
        <v>0.9</v>
      </c>
      <c r="D19" s="100"/>
      <c r="E19" s="99"/>
      <c r="F19" s="99"/>
      <c r="G19" s="99"/>
      <c r="H19" s="99"/>
      <c r="I19" s="99"/>
      <c r="J19" s="99"/>
    </row>
    <row r="20" spans="1:10" ht="19.5" customHeight="1">
      <c r="A20" s="103">
        <v>600</v>
      </c>
      <c r="B20" s="92">
        <v>0.4</v>
      </c>
      <c r="C20" s="104"/>
      <c r="D20" s="100"/>
      <c r="E20" s="99"/>
      <c r="F20" s="99"/>
      <c r="G20" s="99"/>
      <c r="H20" s="99"/>
      <c r="I20" s="99"/>
      <c r="J20" s="99"/>
    </row>
    <row r="21" spans="1:10" ht="19.5" customHeight="1">
      <c r="A21" s="103">
        <v>700</v>
      </c>
      <c r="B21" s="92">
        <v>0.4</v>
      </c>
      <c r="C21" s="104"/>
      <c r="D21" s="100"/>
      <c r="E21" s="99"/>
      <c r="F21" s="99"/>
      <c r="G21" s="99"/>
      <c r="H21" s="99"/>
      <c r="I21" s="99"/>
      <c r="J21" s="99"/>
    </row>
    <row r="22" spans="1:10" ht="19.5" customHeight="1">
      <c r="A22" s="103">
        <v>800</v>
      </c>
      <c r="B22" s="92">
        <v>0.4</v>
      </c>
      <c r="C22" s="104"/>
      <c r="D22" s="100"/>
      <c r="E22" s="99"/>
      <c r="F22" s="99"/>
      <c r="G22" s="99"/>
      <c r="H22" s="99"/>
      <c r="I22" s="99"/>
      <c r="J22" s="99"/>
    </row>
    <row r="23" spans="1:10" ht="19.5" customHeight="1">
      <c r="A23" s="103">
        <v>900</v>
      </c>
      <c r="B23" s="92">
        <v>0.4</v>
      </c>
      <c r="C23" s="104"/>
      <c r="D23" s="100"/>
      <c r="E23" s="99"/>
      <c r="F23" s="99"/>
      <c r="G23" s="99"/>
      <c r="H23" s="99"/>
      <c r="I23" s="99"/>
      <c r="J23" s="99"/>
    </row>
    <row r="24" spans="1:10" ht="19.5" customHeight="1">
      <c r="A24" s="103">
        <v>1000</v>
      </c>
      <c r="B24" s="92">
        <v>0.4</v>
      </c>
      <c r="C24" s="104"/>
      <c r="D24" s="100"/>
      <c r="E24" s="99"/>
      <c r="F24" s="99"/>
      <c r="G24" s="99"/>
      <c r="H24" s="99"/>
      <c r="I24" s="99"/>
      <c r="J24" s="99"/>
    </row>
    <row r="25" spans="1:10" ht="19.5" customHeight="1">
      <c r="A25" s="103">
        <v>1100</v>
      </c>
      <c r="B25" s="104"/>
      <c r="C25" s="104"/>
      <c r="D25" s="100"/>
      <c r="E25" s="99"/>
      <c r="F25" s="99"/>
      <c r="G25" s="99"/>
      <c r="H25" s="99"/>
      <c r="I25" s="99"/>
      <c r="J25" s="99"/>
    </row>
    <row r="26" spans="1:10" ht="19.5" customHeight="1">
      <c r="A26" s="103">
        <v>1200</v>
      </c>
      <c r="B26" s="104"/>
      <c r="C26" s="104"/>
      <c r="D26" s="100"/>
      <c r="E26" s="99"/>
      <c r="F26" s="99"/>
      <c r="G26" s="99"/>
      <c r="H26" s="99"/>
      <c r="I26" s="99"/>
      <c r="J26" s="99"/>
    </row>
    <row r="27" spans="1:10" ht="19.5" customHeight="1">
      <c r="A27" s="103">
        <v>1400</v>
      </c>
      <c r="B27" s="104"/>
      <c r="C27" s="104"/>
      <c r="D27" s="100"/>
      <c r="E27" s="99"/>
      <c r="F27" s="99"/>
      <c r="G27" s="99"/>
      <c r="H27" s="99"/>
      <c r="I27" s="99"/>
      <c r="J27" s="99"/>
    </row>
    <row r="28" spans="4:10" ht="19.5" customHeight="1">
      <c r="D28" s="100"/>
      <c r="E28" s="99"/>
      <c r="F28" s="99"/>
      <c r="G28" s="99"/>
      <c r="H28" s="99"/>
      <c r="I28" s="99"/>
      <c r="J28" s="99"/>
    </row>
    <row r="29" ht="20.25" customHeight="1"/>
  </sheetData>
  <sheetProtection/>
  <mergeCells count="2"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CHGRP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volosatov</dc:creator>
  <cp:keywords/>
  <dc:description/>
  <cp:lastModifiedBy>Климанов</cp:lastModifiedBy>
  <cp:lastPrinted>2013-04-24T13:22:24Z</cp:lastPrinted>
  <dcterms:created xsi:type="dcterms:W3CDTF">2006-07-05T06:12:52Z</dcterms:created>
  <dcterms:modified xsi:type="dcterms:W3CDTF">2014-06-27T07:34:22Z</dcterms:modified>
  <cp:category/>
  <cp:version/>
  <cp:contentType/>
  <cp:contentStatus/>
</cp:coreProperties>
</file>