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<sst xmlns="http://schemas.openxmlformats.org/spreadsheetml/2006/main" count="49" uniqueCount="43">
  <si>
    <t>п/п</t>
  </si>
  <si>
    <t xml:space="preserve">Мощность </t>
  </si>
  <si>
    <t>Итого по объекту:</t>
  </si>
  <si>
    <t>шт.</t>
  </si>
  <si>
    <t>ПГ-2 без духового шкафа /Таганок/</t>
  </si>
  <si>
    <t>ПГ-2 с духовым шкафом</t>
  </si>
  <si>
    <t>ПГ-3 с духовым шкафом</t>
  </si>
  <si>
    <t>ПГ-4 с духовым шкафом</t>
  </si>
  <si>
    <t>УГОП-9</t>
  </si>
  <si>
    <t>УГОП-16</t>
  </si>
  <si>
    <t>АПОК</t>
  </si>
  <si>
    <t>ВПГ-18</t>
  </si>
  <si>
    <t>ВПГ-23</t>
  </si>
  <si>
    <t>Конвектор - 2.5</t>
  </si>
  <si>
    <t>Конвектор - 3.5</t>
  </si>
  <si>
    <t>Конвектор - 5.5</t>
  </si>
  <si>
    <t>Конвектор - 7.0</t>
  </si>
  <si>
    <t xml:space="preserve">Котел FERILLI </t>
  </si>
  <si>
    <t xml:space="preserve">Котел BERETTA </t>
  </si>
  <si>
    <t>АОГВ-7</t>
  </si>
  <si>
    <t>АОГВ-12</t>
  </si>
  <si>
    <t>АГВ-80</t>
  </si>
  <si>
    <t>АГВ-120</t>
  </si>
  <si>
    <t>Осветительные лампы Вт</t>
  </si>
  <si>
    <t>Любой газовый прибор КПД 85%</t>
  </si>
  <si>
    <t>Расход газа</t>
  </si>
  <si>
    <t xml:space="preserve">      кВт</t>
  </si>
  <si>
    <t>Ков-во</t>
  </si>
  <si>
    <t>Число квартир</t>
  </si>
  <si>
    <t>Плита 4-конфорочная</t>
  </si>
  <si>
    <t>Плита 2-конфо-рочная</t>
  </si>
  <si>
    <t>Плита 4-конфорочная и газовый проточный водонагреватель</t>
  </si>
  <si>
    <t>Плита 2-конфорочная и газовый проточный водонагреватель</t>
  </si>
  <si>
    <t>Коэффициент одновременности:</t>
  </si>
  <si>
    <t>Наименование газового прибора</t>
  </si>
  <si>
    <t>Установки:</t>
  </si>
  <si>
    <t>Установка несколько однотипных газовых приборов:</t>
  </si>
  <si>
    <r>
      <t>№</t>
    </r>
    <r>
      <rPr>
        <b/>
        <sz val="10"/>
        <rFont val="Arial"/>
        <family val="2"/>
      </rPr>
      <t xml:space="preserve"> </t>
    </r>
  </si>
  <si>
    <r>
      <t xml:space="preserve">      </t>
    </r>
    <r>
      <rPr>
        <b/>
        <sz val="10"/>
        <color indexed="12"/>
        <rFont val="Arial"/>
        <family val="2"/>
      </rPr>
      <t>м³/ч</t>
    </r>
  </si>
  <si>
    <r>
      <t xml:space="preserve">Коэффициент одновременности </t>
    </r>
    <r>
      <rPr>
        <i/>
        <sz val="10"/>
        <color indexed="22"/>
        <rFont val="Arial"/>
        <family val="2"/>
      </rPr>
      <t>K</t>
    </r>
    <r>
      <rPr>
        <i/>
        <vertAlign val="subscript"/>
        <sz val="10"/>
        <color indexed="22"/>
        <rFont val="Arial"/>
        <family val="2"/>
      </rPr>
      <t>sim</t>
    </r>
    <r>
      <rPr>
        <sz val="10"/>
        <color indexed="22"/>
        <rFont val="Arial"/>
        <family val="2"/>
      </rPr>
      <t xml:space="preserve"> в зависимости от установки в жилых домах газового оборудования</t>
    </r>
  </si>
  <si>
    <r>
      <t xml:space="preserve">!!! *ТЕСТИРУЕМАЯ ВЕРСИЯ* !!! В </t>
    </r>
    <r>
      <rPr>
        <sz val="10"/>
        <color indexed="52"/>
        <rFont val="Arial"/>
        <family val="2"/>
      </rPr>
      <t>светло-коричвенных</t>
    </r>
    <r>
      <rPr>
        <sz val="10"/>
        <rFont val="Arial"/>
        <family val="2"/>
      </rPr>
      <t xml:space="preserve"> ячейках вводиться данные</t>
    </r>
  </si>
  <si>
    <t>Расчет был выполнен в соответствии с__________ недействующий</t>
  </si>
  <si>
    <r>
      <t>RASh</t>
    </r>
    <r>
      <rPr>
        <b/>
        <sz val="11"/>
        <rFont val="Arial"/>
        <family val="2"/>
      </rPr>
      <t>od gaza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</si>
</sst>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u val="single"/>
      <sz val="10"/>
      <color indexed="36"/>
      <name val="Arial Cyr"/>
      <family val="0"/>
    </font>
    <font>
      <sz val="11"/>
      <color indexed="20"/>
      <name val="Arial Narrow"/>
      <family val="2"/>
    </font>
    <font>
      <i/>
      <sz val="11"/>
      <color indexed="23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sz val="11"/>
      <color indexed="17"/>
      <name val="Arial Narrow"/>
      <family val="2"/>
    </font>
    <font>
      <b/>
      <sz val="10"/>
      <color indexed="12"/>
      <name val="Arial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i/>
      <sz val="10"/>
      <color indexed="22"/>
      <name val="Arial"/>
      <family val="2"/>
    </font>
    <font>
      <i/>
      <vertAlign val="subscript"/>
      <sz val="10"/>
      <color indexed="22"/>
      <name val="Arial"/>
      <family val="2"/>
    </font>
    <font>
      <sz val="10"/>
      <color indexed="52"/>
      <name val="Arial"/>
      <family val="2"/>
    </font>
    <font>
      <b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/>
    </xf>
    <xf numFmtId="0" fontId="24" fillId="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2" fontId="24" fillId="24" borderId="10" xfId="0" applyNumberFormat="1" applyFont="1" applyFill="1" applyBorder="1" applyAlignment="1">
      <alignment horizontal="center"/>
    </xf>
    <xf numFmtId="1" fontId="24" fillId="7" borderId="10" xfId="0" applyNumberFormat="1" applyFont="1" applyFill="1" applyBorder="1" applyAlignment="1">
      <alignment horizontal="center"/>
    </xf>
    <xf numFmtId="2" fontId="24" fillId="22" borderId="10" xfId="0" applyNumberFormat="1" applyFont="1" applyFill="1" applyBorder="1" applyAlignment="1">
      <alignment horizontal="center"/>
    </xf>
    <xf numFmtId="1" fontId="24" fillId="7" borderId="11" xfId="0" applyNumberFormat="1" applyFont="1" applyFill="1" applyBorder="1" applyAlignment="1">
      <alignment horizontal="center"/>
    </xf>
    <xf numFmtId="2" fontId="24" fillId="22" borderId="12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9" fillId="0" borderId="0" xfId="0" applyFont="1" applyFill="1" applyBorder="1" applyAlignment="1">
      <alignment/>
    </xf>
    <xf numFmtId="1" fontId="24" fillId="24" borderId="14" xfId="0" applyNumberFormat="1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1" fontId="29" fillId="0" borderId="0" xfId="0" applyNumberFormat="1" applyFont="1" applyFill="1" applyAlignment="1">
      <alignment/>
    </xf>
    <xf numFmtId="0" fontId="30" fillId="24" borderId="14" xfId="0" applyFont="1" applyFill="1" applyBorder="1" applyAlignment="1">
      <alignment/>
    </xf>
    <xf numFmtId="0" fontId="24" fillId="7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/>
    </xf>
    <xf numFmtId="2" fontId="20" fillId="22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6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4" fillId="22" borderId="10" xfId="0" applyFont="1" applyFill="1" applyBorder="1" applyAlignment="1">
      <alignment horizontal="left"/>
    </xf>
    <xf numFmtId="0" fontId="27" fillId="4" borderId="10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left"/>
    </xf>
    <xf numFmtId="2" fontId="24" fillId="24" borderId="15" xfId="0" applyNumberFormat="1" applyFont="1" applyFill="1" applyBorder="1" applyAlignment="1">
      <alignment horizontal="left"/>
    </xf>
    <xf numFmtId="2" fontId="24" fillId="24" borderId="12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SheetLayoutView="100" workbookViewId="0" topLeftCell="A1">
      <selection activeCell="F13" sqref="F13"/>
    </sheetView>
  </sheetViews>
  <sheetFormatPr defaultColWidth="9.00390625" defaultRowHeight="12.75"/>
  <cols>
    <col min="1" max="1" width="3.75390625" style="0" customWidth="1"/>
    <col min="2" max="2" width="31.25390625" style="0" customWidth="1"/>
    <col min="3" max="3" width="10.375" style="0" customWidth="1"/>
    <col min="4" max="4" width="6.625" style="0" customWidth="1"/>
    <col min="5" max="5" width="12.00390625" style="0" customWidth="1"/>
    <col min="9" max="9" width="12.375" style="0" customWidth="1"/>
    <col min="10" max="10" width="11.25390625" style="0" customWidth="1"/>
    <col min="11" max="11" width="12.00390625" style="0" customWidth="1"/>
    <col min="12" max="12" width="11.125" style="0" customWidth="1"/>
  </cols>
  <sheetData>
    <row r="1" spans="1:13" ht="15">
      <c r="A1" s="41" t="s">
        <v>42</v>
      </c>
      <c r="B1" s="42"/>
      <c r="C1" s="42"/>
      <c r="D1" s="42"/>
      <c r="E1" s="42"/>
      <c r="F1" s="5" t="s">
        <v>40</v>
      </c>
      <c r="G1" s="5"/>
      <c r="H1" s="5"/>
      <c r="I1" s="5"/>
      <c r="J1" s="5"/>
      <c r="K1" s="5"/>
      <c r="L1" s="5"/>
      <c r="M1" s="4"/>
    </row>
    <row r="2" spans="1:13" ht="25.5" customHeight="1">
      <c r="A2" s="6" t="s">
        <v>37</v>
      </c>
      <c r="B2" s="45" t="s">
        <v>34</v>
      </c>
      <c r="C2" s="7" t="s">
        <v>1</v>
      </c>
      <c r="D2" s="8" t="s">
        <v>27</v>
      </c>
      <c r="E2" s="9" t="s">
        <v>25</v>
      </c>
      <c r="F2" s="49" t="s">
        <v>41</v>
      </c>
      <c r="G2" s="50"/>
      <c r="H2" s="52" t="s">
        <v>28</v>
      </c>
      <c r="I2" s="51" t="s">
        <v>39</v>
      </c>
      <c r="J2" s="51"/>
      <c r="K2" s="51"/>
      <c r="L2" s="51"/>
      <c r="M2" s="4"/>
    </row>
    <row r="3" spans="1:13" ht="12.75" customHeight="1">
      <c r="A3" s="9" t="s">
        <v>0</v>
      </c>
      <c r="B3" s="45"/>
      <c r="C3" s="10" t="s">
        <v>26</v>
      </c>
      <c r="D3" s="11" t="s">
        <v>3</v>
      </c>
      <c r="E3" s="12" t="s">
        <v>38</v>
      </c>
      <c r="F3" s="49"/>
      <c r="G3" s="50"/>
      <c r="H3" s="52"/>
      <c r="I3" s="52" t="s">
        <v>29</v>
      </c>
      <c r="J3" s="52" t="s">
        <v>30</v>
      </c>
      <c r="K3" s="52" t="s">
        <v>31</v>
      </c>
      <c r="L3" s="52" t="s">
        <v>32</v>
      </c>
      <c r="M3" s="4"/>
    </row>
    <row r="4" spans="1:13" ht="12.75">
      <c r="A4" s="13">
        <v>1</v>
      </c>
      <c r="B4" s="14" t="s">
        <v>4</v>
      </c>
      <c r="C4" s="15">
        <v>3.2</v>
      </c>
      <c r="D4" s="16">
        <v>0</v>
      </c>
      <c r="E4" s="17">
        <f>C4*D4*860/8000/0.85</f>
        <v>0</v>
      </c>
      <c r="F4" s="49"/>
      <c r="G4" s="50"/>
      <c r="H4" s="52"/>
      <c r="I4" s="52"/>
      <c r="J4" s="52"/>
      <c r="K4" s="52"/>
      <c r="L4" s="52"/>
      <c r="M4" s="4"/>
    </row>
    <row r="5" spans="1:13" ht="12.75">
      <c r="A5" s="13">
        <v>2</v>
      </c>
      <c r="B5" s="14" t="s">
        <v>5</v>
      </c>
      <c r="C5" s="15">
        <v>5.9</v>
      </c>
      <c r="D5" s="16">
        <v>0</v>
      </c>
      <c r="E5" s="17">
        <f>C5*D5*860/8000/0.85</f>
        <v>0</v>
      </c>
      <c r="F5" s="49"/>
      <c r="G5" s="50"/>
      <c r="H5" s="52"/>
      <c r="I5" s="52"/>
      <c r="J5" s="52"/>
      <c r="K5" s="52"/>
      <c r="L5" s="52"/>
      <c r="M5" s="4"/>
    </row>
    <row r="6" spans="1:13" ht="12.75">
      <c r="A6" s="13">
        <v>3</v>
      </c>
      <c r="B6" s="14" t="s">
        <v>6</v>
      </c>
      <c r="C6" s="15">
        <v>7.5</v>
      </c>
      <c r="D6" s="16">
        <v>0</v>
      </c>
      <c r="E6" s="17">
        <f>C6*D6*860/8000/0.85</f>
        <v>0</v>
      </c>
      <c r="F6" s="49"/>
      <c r="G6" s="50"/>
      <c r="H6" s="52"/>
      <c r="I6" s="52"/>
      <c r="J6" s="52"/>
      <c r="K6" s="52"/>
      <c r="L6" s="52"/>
      <c r="M6" s="4"/>
    </row>
    <row r="7" spans="1:13" ht="12.75">
      <c r="A7" s="13">
        <v>4</v>
      </c>
      <c r="B7" s="14" t="s">
        <v>7</v>
      </c>
      <c r="C7" s="15">
        <v>9.5</v>
      </c>
      <c r="D7" s="16">
        <v>1</v>
      </c>
      <c r="E7" s="17">
        <f>C7*D7*860/8000/0.85</f>
        <v>1.201470588235294</v>
      </c>
      <c r="F7" s="49"/>
      <c r="G7" s="50"/>
      <c r="H7" s="52"/>
      <c r="I7" s="52"/>
      <c r="J7" s="52"/>
      <c r="K7" s="52"/>
      <c r="L7" s="52"/>
      <c r="M7" s="4"/>
    </row>
    <row r="8" spans="1:13" ht="12.75">
      <c r="A8" s="13">
        <v>5</v>
      </c>
      <c r="B8" s="14" t="s">
        <v>8</v>
      </c>
      <c r="C8" s="15">
        <v>9</v>
      </c>
      <c r="D8" s="16">
        <v>0</v>
      </c>
      <c r="E8" s="17">
        <f>C8*D8*860/8000/0.8</f>
        <v>0</v>
      </c>
      <c r="F8" s="49"/>
      <c r="G8" s="50"/>
      <c r="H8" s="52"/>
      <c r="I8" s="52"/>
      <c r="J8" s="52"/>
      <c r="K8" s="52"/>
      <c r="L8" s="52"/>
      <c r="M8" s="4"/>
    </row>
    <row r="9" spans="1:13" ht="12.75">
      <c r="A9" s="13">
        <v>6</v>
      </c>
      <c r="B9" s="14" t="s">
        <v>9</v>
      </c>
      <c r="C9" s="15">
        <v>16</v>
      </c>
      <c r="D9" s="16">
        <v>1</v>
      </c>
      <c r="E9" s="17">
        <f>C9*D9*860/8000/0.8</f>
        <v>2.15</v>
      </c>
      <c r="F9" s="35"/>
      <c r="G9" s="36"/>
      <c r="H9" s="37">
        <v>1</v>
      </c>
      <c r="I9" s="37">
        <v>1</v>
      </c>
      <c r="J9" s="37">
        <v>1</v>
      </c>
      <c r="K9" s="37">
        <v>0.7</v>
      </c>
      <c r="L9" s="37">
        <v>0.75</v>
      </c>
      <c r="M9" s="4"/>
    </row>
    <row r="10" spans="1:13" ht="12.75">
      <c r="A10" s="13">
        <v>7</v>
      </c>
      <c r="B10" s="14" t="s">
        <v>10</v>
      </c>
      <c r="C10" s="15">
        <v>16</v>
      </c>
      <c r="D10" s="16">
        <v>0</v>
      </c>
      <c r="E10" s="17">
        <f>C10*D10*860/8000/0.85</f>
        <v>0</v>
      </c>
      <c r="F10" s="35"/>
      <c r="G10" s="36"/>
      <c r="H10" s="37">
        <v>2</v>
      </c>
      <c r="I10" s="37">
        <v>0.65</v>
      </c>
      <c r="J10" s="37">
        <v>0.84</v>
      </c>
      <c r="K10" s="37">
        <v>0.56</v>
      </c>
      <c r="L10" s="37">
        <v>0.64</v>
      </c>
      <c r="M10" s="4"/>
    </row>
    <row r="11" spans="1:13" ht="12.75">
      <c r="A11" s="13">
        <v>8</v>
      </c>
      <c r="B11" s="14" t="s">
        <v>11</v>
      </c>
      <c r="C11" s="15">
        <v>18</v>
      </c>
      <c r="D11" s="16">
        <v>0</v>
      </c>
      <c r="E11" s="17">
        <f>C11*D11*860/8000/0.85</f>
        <v>0</v>
      </c>
      <c r="F11" s="35"/>
      <c r="G11" s="36"/>
      <c r="H11" s="37">
        <v>3</v>
      </c>
      <c r="I11" s="37">
        <v>0.45</v>
      </c>
      <c r="J11" s="37">
        <v>0.73</v>
      </c>
      <c r="K11" s="37">
        <v>0.48</v>
      </c>
      <c r="L11" s="37">
        <v>0.52</v>
      </c>
      <c r="M11" s="4"/>
    </row>
    <row r="12" spans="1:13" ht="12.75">
      <c r="A12" s="13">
        <v>9</v>
      </c>
      <c r="B12" s="14" t="s">
        <v>12</v>
      </c>
      <c r="C12" s="15">
        <v>23</v>
      </c>
      <c r="D12" s="16">
        <v>0</v>
      </c>
      <c r="E12" s="17">
        <f>C12*D12*860/8000/0.85</f>
        <v>0</v>
      </c>
      <c r="F12" s="35"/>
      <c r="G12" s="36"/>
      <c r="H12" s="37">
        <v>4</v>
      </c>
      <c r="I12" s="37">
        <v>0.35</v>
      </c>
      <c r="J12" s="37">
        <v>0.59</v>
      </c>
      <c r="K12" s="37">
        <v>0.43</v>
      </c>
      <c r="L12" s="37">
        <v>0.39</v>
      </c>
      <c r="M12" s="4"/>
    </row>
    <row r="13" spans="1:13" ht="12.75">
      <c r="A13" s="13">
        <v>10</v>
      </c>
      <c r="B13" s="14" t="s">
        <v>13</v>
      </c>
      <c r="C13" s="15">
        <v>2.5</v>
      </c>
      <c r="D13" s="16">
        <v>0</v>
      </c>
      <c r="E13" s="17">
        <f aca="true" t="shared" si="0" ref="E13:E18">C13*D13*860/8000/0.92</f>
        <v>0</v>
      </c>
      <c r="F13" s="35"/>
      <c r="G13" s="36"/>
      <c r="H13" s="37">
        <v>5</v>
      </c>
      <c r="I13" s="37">
        <v>0.29</v>
      </c>
      <c r="J13" s="37">
        <v>0.48</v>
      </c>
      <c r="K13" s="37">
        <v>0.4</v>
      </c>
      <c r="L13" s="37">
        <v>0.375</v>
      </c>
      <c r="M13" s="4"/>
    </row>
    <row r="14" spans="1:13" ht="12.75">
      <c r="A14" s="13">
        <v>11</v>
      </c>
      <c r="B14" s="14" t="s">
        <v>14</v>
      </c>
      <c r="C14" s="15">
        <v>3.5</v>
      </c>
      <c r="D14" s="16">
        <v>0</v>
      </c>
      <c r="E14" s="17">
        <f t="shared" si="0"/>
        <v>0</v>
      </c>
      <c r="F14" s="35"/>
      <c r="G14" s="36"/>
      <c r="H14" s="37">
        <v>6</v>
      </c>
      <c r="I14" s="37">
        <v>0.28</v>
      </c>
      <c r="J14" s="37">
        <v>0.41</v>
      </c>
      <c r="K14" s="37">
        <v>0.392</v>
      </c>
      <c r="L14" s="37">
        <v>0.36</v>
      </c>
      <c r="M14" s="4"/>
    </row>
    <row r="15" spans="1:13" ht="12.75">
      <c r="A15" s="13">
        <v>12</v>
      </c>
      <c r="B15" s="14" t="s">
        <v>15</v>
      </c>
      <c r="C15" s="15">
        <v>5.5</v>
      </c>
      <c r="D15" s="16">
        <v>0</v>
      </c>
      <c r="E15" s="17">
        <f t="shared" si="0"/>
        <v>0</v>
      </c>
      <c r="F15" s="35"/>
      <c r="G15" s="36"/>
      <c r="H15" s="37">
        <v>7</v>
      </c>
      <c r="I15" s="37">
        <v>0.28</v>
      </c>
      <c r="J15" s="37">
        <v>0.36</v>
      </c>
      <c r="K15" s="37">
        <v>0.37</v>
      </c>
      <c r="L15" s="37">
        <v>0.345</v>
      </c>
      <c r="M15" s="4"/>
    </row>
    <row r="16" spans="1:13" ht="12.75">
      <c r="A16" s="13">
        <v>13</v>
      </c>
      <c r="B16" s="14" t="s">
        <v>16</v>
      </c>
      <c r="C16" s="15">
        <v>7</v>
      </c>
      <c r="D16" s="16">
        <v>0</v>
      </c>
      <c r="E16" s="17">
        <f t="shared" si="0"/>
        <v>0</v>
      </c>
      <c r="F16" s="35"/>
      <c r="G16" s="36"/>
      <c r="H16" s="37">
        <v>8</v>
      </c>
      <c r="I16" s="37">
        <v>0.265</v>
      </c>
      <c r="J16" s="37">
        <v>0.32</v>
      </c>
      <c r="K16" s="37">
        <v>0.36</v>
      </c>
      <c r="L16" s="37">
        <v>0.335</v>
      </c>
      <c r="M16" s="4"/>
    </row>
    <row r="17" spans="1:13" ht="12.75">
      <c r="A17" s="13">
        <v>14</v>
      </c>
      <c r="B17" s="14" t="s">
        <v>17</v>
      </c>
      <c r="C17" s="15">
        <v>23.3</v>
      </c>
      <c r="D17" s="16">
        <v>0</v>
      </c>
      <c r="E17" s="17">
        <f t="shared" si="0"/>
        <v>0</v>
      </c>
      <c r="F17" s="35"/>
      <c r="G17" s="36"/>
      <c r="H17" s="37">
        <v>9</v>
      </c>
      <c r="I17" s="37">
        <v>0.258</v>
      </c>
      <c r="J17" s="37">
        <v>0.289</v>
      </c>
      <c r="K17" s="37">
        <v>0.345</v>
      </c>
      <c r="L17" s="37">
        <v>0.32</v>
      </c>
      <c r="M17" s="4"/>
    </row>
    <row r="18" spans="1:13" ht="12.75">
      <c r="A18" s="13">
        <v>15</v>
      </c>
      <c r="B18" s="14" t="s">
        <v>18</v>
      </c>
      <c r="C18" s="15">
        <v>26.3</v>
      </c>
      <c r="D18" s="16">
        <v>0</v>
      </c>
      <c r="E18" s="17">
        <f t="shared" si="0"/>
        <v>0</v>
      </c>
      <c r="F18" s="35"/>
      <c r="G18" s="36"/>
      <c r="H18" s="37">
        <v>10</v>
      </c>
      <c r="I18" s="37">
        <v>0.254</v>
      </c>
      <c r="J18" s="37">
        <v>0.263</v>
      </c>
      <c r="K18" s="37">
        <v>0.34</v>
      </c>
      <c r="L18" s="37">
        <v>0.315</v>
      </c>
      <c r="M18" s="4"/>
    </row>
    <row r="19" spans="1:13" ht="12.75">
      <c r="A19" s="13">
        <v>16</v>
      </c>
      <c r="B19" s="14" t="s">
        <v>19</v>
      </c>
      <c r="C19" s="15">
        <v>7</v>
      </c>
      <c r="D19" s="16">
        <v>0</v>
      </c>
      <c r="E19" s="17">
        <f>C19*D19*860/8000/0.85</f>
        <v>0</v>
      </c>
      <c r="F19" s="35"/>
      <c r="G19" s="36"/>
      <c r="H19" s="37">
        <v>15</v>
      </c>
      <c r="I19" s="37">
        <v>0.24</v>
      </c>
      <c r="J19" s="37">
        <v>0.242</v>
      </c>
      <c r="K19" s="37">
        <v>0.3</v>
      </c>
      <c r="L19" s="37">
        <v>0.275</v>
      </c>
      <c r="M19" s="4"/>
    </row>
    <row r="20" spans="1:13" ht="12.75">
      <c r="A20" s="13">
        <v>17</v>
      </c>
      <c r="B20" s="14" t="s">
        <v>20</v>
      </c>
      <c r="C20" s="15">
        <v>12</v>
      </c>
      <c r="D20" s="16">
        <v>1</v>
      </c>
      <c r="E20" s="17">
        <f>C20*D20*860/8000/0.85</f>
        <v>1.5176470588235296</v>
      </c>
      <c r="F20" s="35"/>
      <c r="G20" s="36"/>
      <c r="H20" s="37">
        <v>20</v>
      </c>
      <c r="I20" s="37">
        <v>0.235</v>
      </c>
      <c r="J20" s="37">
        <v>0.23</v>
      </c>
      <c r="K20" s="37">
        <v>0.28</v>
      </c>
      <c r="L20" s="37">
        <v>0.26</v>
      </c>
      <c r="M20" s="4"/>
    </row>
    <row r="21" spans="1:13" ht="12.75">
      <c r="A21" s="13">
        <v>18</v>
      </c>
      <c r="B21" s="14" t="s">
        <v>21</v>
      </c>
      <c r="C21" s="15">
        <v>5.9</v>
      </c>
      <c r="D21" s="16">
        <v>0</v>
      </c>
      <c r="E21" s="17">
        <f>C21*D21*860/8000/0.85</f>
        <v>0</v>
      </c>
      <c r="F21" s="35"/>
      <c r="G21" s="36"/>
      <c r="H21" s="37">
        <v>30</v>
      </c>
      <c r="I21" s="37">
        <v>0.231</v>
      </c>
      <c r="J21" s="37">
        <v>0.218</v>
      </c>
      <c r="K21" s="37">
        <v>0.25</v>
      </c>
      <c r="L21" s="37">
        <v>0.235</v>
      </c>
      <c r="M21" s="4"/>
    </row>
    <row r="22" spans="1:13" ht="12.75">
      <c r="A22" s="13">
        <v>19</v>
      </c>
      <c r="B22" s="14" t="s">
        <v>22</v>
      </c>
      <c r="C22" s="15">
        <v>8</v>
      </c>
      <c r="D22" s="16">
        <v>0</v>
      </c>
      <c r="E22" s="17">
        <f>C22*D22*860/8000/0.85</f>
        <v>0</v>
      </c>
      <c r="F22" s="35"/>
      <c r="G22" s="36"/>
      <c r="H22" s="37">
        <v>40</v>
      </c>
      <c r="I22" s="37">
        <v>0.227</v>
      </c>
      <c r="J22" s="37">
        <v>0.213</v>
      </c>
      <c r="K22" s="37">
        <v>0.23</v>
      </c>
      <c r="L22" s="37">
        <v>0.205</v>
      </c>
      <c r="M22" s="4"/>
    </row>
    <row r="23" spans="1:13" ht="12.75">
      <c r="A23" s="13">
        <v>20</v>
      </c>
      <c r="B23" s="14" t="s">
        <v>24</v>
      </c>
      <c r="C23" s="15">
        <v>28</v>
      </c>
      <c r="D23" s="16">
        <v>0</v>
      </c>
      <c r="E23" s="17">
        <f>C23*D23*860/8000/0.85</f>
        <v>0</v>
      </c>
      <c r="F23" s="35"/>
      <c r="G23" s="36"/>
      <c r="H23" s="37">
        <v>50</v>
      </c>
      <c r="I23" s="37">
        <v>0.223</v>
      </c>
      <c r="J23" s="37">
        <v>0.21</v>
      </c>
      <c r="K23" s="37">
        <v>0.215</v>
      </c>
      <c r="L23" s="37">
        <v>0.193</v>
      </c>
      <c r="M23" s="4"/>
    </row>
    <row r="24" spans="1:13" ht="12.75">
      <c r="A24" s="13">
        <v>21</v>
      </c>
      <c r="B24" s="14" t="s">
        <v>23</v>
      </c>
      <c r="C24" s="15">
        <v>0</v>
      </c>
      <c r="D24" s="18">
        <v>0</v>
      </c>
      <c r="E24" s="17">
        <f>C28*D28*860/8000/0.7/1000</f>
        <v>0</v>
      </c>
      <c r="F24" s="35"/>
      <c r="G24" s="36"/>
      <c r="H24" s="37">
        <v>60</v>
      </c>
      <c r="I24" s="37">
        <v>0.22</v>
      </c>
      <c r="J24" s="37">
        <v>0.207</v>
      </c>
      <c r="K24" s="37">
        <v>0.203</v>
      </c>
      <c r="L24" s="37">
        <v>0.186</v>
      </c>
      <c r="M24" s="4"/>
    </row>
    <row r="25" spans="1:13" ht="12.75">
      <c r="A25" s="46"/>
      <c r="B25" s="47"/>
      <c r="C25" s="48"/>
      <c r="D25" s="17" t="str">
        <f>CONCATENATE(F25,D3)</f>
        <v>3шт.</v>
      </c>
      <c r="E25" s="19">
        <f>SUM(E4:E24)</f>
        <v>4.8691176470588236</v>
      </c>
      <c r="F25" s="20">
        <f>SUM(D4:D24)</f>
        <v>3</v>
      </c>
      <c r="G25" s="21"/>
      <c r="H25" s="37">
        <v>70</v>
      </c>
      <c r="I25" s="37">
        <v>0.217</v>
      </c>
      <c r="J25" s="37">
        <v>0.205</v>
      </c>
      <c r="K25" s="37">
        <v>0.195</v>
      </c>
      <c r="L25" s="37">
        <v>0.18</v>
      </c>
      <c r="M25" s="4"/>
    </row>
    <row r="26" spans="1:13" ht="12.75">
      <c r="A26" s="43" t="s">
        <v>28</v>
      </c>
      <c r="B26" s="43"/>
      <c r="C26" s="22"/>
      <c r="D26" s="23"/>
      <c r="E26" s="14"/>
      <c r="F26" s="24">
        <v>1</v>
      </c>
      <c r="G26" s="21"/>
      <c r="H26" s="37">
        <v>80</v>
      </c>
      <c r="I26" s="37">
        <v>0.214</v>
      </c>
      <c r="J26" s="37">
        <v>0.204</v>
      </c>
      <c r="K26" s="37">
        <v>0.192</v>
      </c>
      <c r="L26" s="37">
        <v>0.175</v>
      </c>
      <c r="M26" s="4"/>
    </row>
    <row r="27" spans="1:13" ht="12.75">
      <c r="A27" s="25" t="s">
        <v>35</v>
      </c>
      <c r="B27" s="26"/>
      <c r="C27" s="26"/>
      <c r="D27" s="26"/>
      <c r="E27" s="27"/>
      <c r="F27" s="24">
        <v>1</v>
      </c>
      <c r="G27" s="28">
        <v>1</v>
      </c>
      <c r="H27" s="37">
        <v>90</v>
      </c>
      <c r="I27" s="37">
        <v>0.212</v>
      </c>
      <c r="J27" s="37">
        <v>0.203</v>
      </c>
      <c r="K27" s="37">
        <v>0.187</v>
      </c>
      <c r="L27" s="37">
        <v>0.171</v>
      </c>
      <c r="M27" s="4"/>
    </row>
    <row r="28" spans="1:12" ht="12.75" customHeight="1">
      <c r="A28" s="29" t="s">
        <v>36</v>
      </c>
      <c r="B28" s="27"/>
      <c r="C28" s="14"/>
      <c r="D28" s="30">
        <v>1</v>
      </c>
      <c r="E28" s="31" t="s">
        <v>3</v>
      </c>
      <c r="F28" s="24">
        <v>2</v>
      </c>
      <c r="G28" s="24"/>
      <c r="H28" s="37">
        <v>100</v>
      </c>
      <c r="I28" s="37">
        <v>0.21</v>
      </c>
      <c r="J28" s="37">
        <v>0.202</v>
      </c>
      <c r="K28" s="37">
        <v>0.185</v>
      </c>
      <c r="L28" s="37">
        <v>0.163</v>
      </c>
    </row>
    <row r="29" spans="1:12" ht="12.75">
      <c r="A29" s="43" t="s">
        <v>33</v>
      </c>
      <c r="B29" s="43"/>
      <c r="C29" s="44">
        <f>SUM(E31:E114)*D28</f>
        <v>1</v>
      </c>
      <c r="D29" s="44"/>
      <c r="E29" s="44"/>
      <c r="F29" s="24">
        <v>3</v>
      </c>
      <c r="G29" s="24"/>
      <c r="H29" s="37">
        <v>400</v>
      </c>
      <c r="I29" s="37">
        <v>0.18</v>
      </c>
      <c r="J29" s="37">
        <v>0.17</v>
      </c>
      <c r="K29" s="37">
        <v>0.15</v>
      </c>
      <c r="L29" s="37">
        <v>0.135</v>
      </c>
    </row>
    <row r="30" spans="1:12" ht="12.75" customHeight="1">
      <c r="A30" s="38" t="s">
        <v>2</v>
      </c>
      <c r="B30" s="39"/>
      <c r="C30" s="39"/>
      <c r="D30" s="40"/>
      <c r="E30" s="32">
        <f>E25*C29</f>
        <v>4.8691176470588236</v>
      </c>
      <c r="F30" s="24">
        <v>4</v>
      </c>
      <c r="G30" s="33"/>
      <c r="H30" s="34"/>
      <c r="I30" s="34"/>
      <c r="J30" s="34"/>
      <c r="K30" s="34"/>
      <c r="L30" s="34"/>
    </row>
    <row r="31" spans="1:9" ht="12.75">
      <c r="A31" s="1"/>
      <c r="B31" s="1" t="s">
        <v>29</v>
      </c>
      <c r="C31" s="3"/>
      <c r="D31" s="1"/>
      <c r="E31" s="3">
        <f>(IF((F26=1)*AND(G27=1),1,))</f>
        <v>1</v>
      </c>
      <c r="F31" s="2">
        <v>5</v>
      </c>
      <c r="G31" s="1"/>
      <c r="H31" s="1"/>
      <c r="I31" s="1"/>
    </row>
    <row r="32" spans="1:9" ht="12.75">
      <c r="A32" s="1"/>
      <c r="B32" s="1" t="s">
        <v>30</v>
      </c>
      <c r="C32" s="3"/>
      <c r="D32" s="1"/>
      <c r="E32" s="3">
        <f>IF((F26=2)*AND(G27=1),0.65,)</f>
        <v>0</v>
      </c>
      <c r="F32" s="2">
        <v>6</v>
      </c>
      <c r="G32" s="1"/>
      <c r="H32" s="1"/>
      <c r="I32" s="1"/>
    </row>
    <row r="33" spans="1:9" ht="12.75">
      <c r="A33" s="1"/>
      <c r="B33" s="1" t="s">
        <v>31</v>
      </c>
      <c r="C33" s="3"/>
      <c r="D33" s="1"/>
      <c r="E33" s="3">
        <f>(IF((F26=3)*AND(G27=1),0.45,))</f>
        <v>0</v>
      </c>
      <c r="F33" s="2">
        <v>7</v>
      </c>
      <c r="G33" s="1"/>
      <c r="H33" s="1"/>
      <c r="I33" s="1"/>
    </row>
    <row r="34" spans="1:9" ht="12.75">
      <c r="A34" s="1"/>
      <c r="B34" s="1" t="s">
        <v>32</v>
      </c>
      <c r="C34" s="3"/>
      <c r="D34" s="1"/>
      <c r="E34" s="3">
        <f>(IF((F26=4)*AND(G27=1),0.35,))</f>
        <v>0</v>
      </c>
      <c r="F34" s="2">
        <v>8</v>
      </c>
      <c r="G34" s="1"/>
      <c r="H34" s="1"/>
      <c r="I34" s="1"/>
    </row>
    <row r="35" spans="1:9" ht="12.75">
      <c r="A35" s="1"/>
      <c r="B35" s="1"/>
      <c r="C35" s="1"/>
      <c r="D35" s="1"/>
      <c r="E35" s="1">
        <f>(IF((F26=5)*AND(G27=1),0.29,))</f>
        <v>0</v>
      </c>
      <c r="F35" s="2">
        <v>9</v>
      </c>
      <c r="G35" s="1"/>
      <c r="H35" s="1"/>
      <c r="I35" s="1"/>
    </row>
    <row r="36" spans="1:9" ht="12.75">
      <c r="A36" s="1"/>
      <c r="B36" s="1"/>
      <c r="C36" s="1"/>
      <c r="D36" s="1"/>
      <c r="E36" s="1">
        <f>(IF((F26=6)*AND(G27=1),0.28,))</f>
        <v>0</v>
      </c>
      <c r="F36" s="2">
        <v>10</v>
      </c>
      <c r="G36" s="1"/>
      <c r="H36" s="1"/>
      <c r="I36" s="1"/>
    </row>
    <row r="37" spans="1:9" ht="12.75">
      <c r="A37" s="1"/>
      <c r="B37" s="1"/>
      <c r="C37" s="1"/>
      <c r="D37" s="1"/>
      <c r="E37" s="1">
        <f>(IF((F26=7)*AND(G27=1),0.28,))</f>
        <v>0</v>
      </c>
      <c r="F37" s="2">
        <v>15</v>
      </c>
      <c r="G37" s="1"/>
      <c r="H37" s="1"/>
      <c r="I37" s="1"/>
    </row>
    <row r="38" spans="1:9" ht="12.75">
      <c r="A38" s="1"/>
      <c r="B38" s="1"/>
      <c r="C38" s="1"/>
      <c r="D38" s="1"/>
      <c r="E38" s="1">
        <f>(IF((F26=8)*AND(G27=1),0.265,))</f>
        <v>0</v>
      </c>
      <c r="F38" s="2">
        <v>20</v>
      </c>
      <c r="G38" s="1"/>
      <c r="H38" s="1"/>
      <c r="I38" s="1"/>
    </row>
    <row r="39" spans="1:9" ht="12.75">
      <c r="A39" s="1"/>
      <c r="B39" s="1"/>
      <c r="C39" s="1"/>
      <c r="D39" s="1"/>
      <c r="E39" s="1">
        <f>(IF((F26=9)*AND(G27=1),0.258,))</f>
        <v>0</v>
      </c>
      <c r="F39" s="2">
        <v>30</v>
      </c>
      <c r="G39" s="1"/>
      <c r="H39" s="1"/>
      <c r="I39" s="1"/>
    </row>
    <row r="40" spans="1:9" ht="12.75">
      <c r="A40" s="1"/>
      <c r="B40" s="1"/>
      <c r="C40" s="1"/>
      <c r="D40" s="1"/>
      <c r="E40" s="1">
        <f>(IF((F26=10)*AND(G27=1),0.254,))</f>
        <v>0</v>
      </c>
      <c r="F40" s="2">
        <v>40</v>
      </c>
      <c r="G40" s="1"/>
      <c r="H40" s="1"/>
      <c r="I40" s="1"/>
    </row>
    <row r="41" spans="1:9" ht="12.75">
      <c r="A41" s="1"/>
      <c r="B41" s="1"/>
      <c r="C41" s="1"/>
      <c r="D41" s="1"/>
      <c r="E41" s="1">
        <f>(IF((F26=11)*AND(G27=1),0.24,))</f>
        <v>0</v>
      </c>
      <c r="F41" s="2">
        <v>50</v>
      </c>
      <c r="G41" s="1"/>
      <c r="H41" s="1"/>
      <c r="I41" s="1"/>
    </row>
    <row r="42" spans="1:9" ht="12.75">
      <c r="A42" s="1"/>
      <c r="B42" s="1"/>
      <c r="C42" s="1"/>
      <c r="D42" s="1"/>
      <c r="E42" s="1">
        <f>(IF((F26=12)*AND(G27=1),0.235,))</f>
        <v>0</v>
      </c>
      <c r="F42" s="2">
        <v>60</v>
      </c>
      <c r="G42" s="1"/>
      <c r="H42" s="1"/>
      <c r="I42" s="1"/>
    </row>
    <row r="43" spans="1:9" ht="12.75">
      <c r="A43" s="1"/>
      <c r="B43" s="1"/>
      <c r="C43" s="1"/>
      <c r="D43" s="1"/>
      <c r="E43" s="1">
        <f>(IF((F26=13)*AND(G27=1),0.231,))</f>
        <v>0</v>
      </c>
      <c r="F43" s="2">
        <v>70</v>
      </c>
      <c r="G43" s="1"/>
      <c r="H43" s="1"/>
      <c r="I43" s="1"/>
    </row>
    <row r="44" spans="1:9" ht="12.75">
      <c r="A44" s="1"/>
      <c r="B44" s="1"/>
      <c r="C44" s="1"/>
      <c r="D44" s="1"/>
      <c r="E44" s="1">
        <f>(IF((F26=14)*AND(G27=1),0.227,))</f>
        <v>0</v>
      </c>
      <c r="F44" s="2">
        <v>80</v>
      </c>
      <c r="G44" s="1"/>
      <c r="H44" s="1"/>
      <c r="I44" s="1"/>
    </row>
    <row r="45" spans="1:9" ht="12.75">
      <c r="A45" s="1"/>
      <c r="B45" s="1"/>
      <c r="C45" s="1"/>
      <c r="D45" s="1"/>
      <c r="E45" s="1">
        <f>(IF((F26=15)*AND(G27=1),0.223,))</f>
        <v>0</v>
      </c>
      <c r="F45" s="2">
        <v>90</v>
      </c>
      <c r="G45" s="1"/>
      <c r="H45" s="1"/>
      <c r="I45" s="1"/>
    </row>
    <row r="46" spans="1:9" ht="12.75">
      <c r="A46" s="1"/>
      <c r="B46" s="1"/>
      <c r="C46" s="1"/>
      <c r="D46" s="1"/>
      <c r="E46" s="1">
        <f>(IF((F26=16)*AND(G27=1),0.22,))</f>
        <v>0</v>
      </c>
      <c r="F46" s="2">
        <v>100</v>
      </c>
      <c r="G46" s="1"/>
      <c r="H46" s="1"/>
      <c r="I46" s="1"/>
    </row>
    <row r="47" spans="1:9" ht="12.75">
      <c r="A47" s="1"/>
      <c r="B47" s="1"/>
      <c r="C47" s="1"/>
      <c r="D47" s="1"/>
      <c r="E47" s="1">
        <f>(IF((F26=17)*AND(G27=1),0.217,))</f>
        <v>0</v>
      </c>
      <c r="F47" s="1">
        <v>400</v>
      </c>
      <c r="G47" s="1"/>
      <c r="H47" s="1"/>
      <c r="I47" s="1"/>
    </row>
    <row r="48" spans="1:9" ht="12.75">
      <c r="A48" s="1"/>
      <c r="B48" s="1"/>
      <c r="C48" s="1"/>
      <c r="D48" s="1"/>
      <c r="E48" s="1">
        <f>(IF((F26=18)*AND(G27=1),0.214,))</f>
        <v>0</v>
      </c>
      <c r="F48" s="1"/>
      <c r="G48" s="1"/>
      <c r="H48" s="1"/>
      <c r="I48" s="1"/>
    </row>
    <row r="49" spans="1:8" ht="12.75">
      <c r="A49" s="1"/>
      <c r="B49" s="1"/>
      <c r="C49" s="1"/>
      <c r="D49" s="1"/>
      <c r="E49" s="1">
        <f>(IF((F26=19)*AND(G27=1),0.212,))</f>
        <v>0</v>
      </c>
      <c r="F49" s="1"/>
      <c r="G49" s="1"/>
      <c r="H49" s="1"/>
    </row>
    <row r="50" spans="1:8" ht="12.75">
      <c r="A50" s="1"/>
      <c r="B50" s="1"/>
      <c r="C50" s="1"/>
      <c r="D50" s="1"/>
      <c r="E50" s="1">
        <f>(IF((F26=20)*AND(G27=1),0.21,))</f>
        <v>0</v>
      </c>
      <c r="F50" s="1"/>
      <c r="G50" s="1"/>
      <c r="H50" s="1"/>
    </row>
    <row r="51" spans="1:8" ht="12.75">
      <c r="A51" s="1"/>
      <c r="B51" s="1"/>
      <c r="C51" s="1"/>
      <c r="D51" s="1"/>
      <c r="E51" s="1">
        <f>(IF((F26=21)*AND(G27=1),0.18,))</f>
        <v>0</v>
      </c>
      <c r="F51" s="1"/>
      <c r="G51" s="1"/>
      <c r="H51" s="1"/>
    </row>
    <row r="52" spans="1:8" ht="12.75">
      <c r="A52" s="1"/>
      <c r="B52" s="1"/>
      <c r="C52" s="1"/>
      <c r="D52" s="1"/>
      <c r="E52" s="1">
        <f>(IF((F26=1)*AND(G27=2),1,))</f>
        <v>0</v>
      </c>
      <c r="F52" s="1"/>
      <c r="G52" s="1"/>
      <c r="H52" s="1"/>
    </row>
    <row r="53" spans="1:8" ht="12.75">
      <c r="A53" s="1"/>
      <c r="B53" s="1"/>
      <c r="C53" s="1"/>
      <c r="D53" s="1"/>
      <c r="E53" s="1">
        <f>(IF((F26=2)*AND(G27=2),0.83,))</f>
        <v>0</v>
      </c>
      <c r="F53" s="1"/>
      <c r="G53" s="1"/>
      <c r="H53" s="1"/>
    </row>
    <row r="54" spans="1:8" ht="12.75">
      <c r="A54" s="1"/>
      <c r="B54" s="1"/>
      <c r="C54" s="1"/>
      <c r="D54" s="1"/>
      <c r="E54" s="1">
        <f>(IF((F26=3)*AND(G27=2),0.73,))</f>
        <v>0</v>
      </c>
      <c r="F54" s="1"/>
      <c r="G54" s="1"/>
      <c r="H54" s="1"/>
    </row>
    <row r="55" spans="1:8" ht="12.75">
      <c r="A55" s="1"/>
      <c r="B55" s="1"/>
      <c r="C55" s="1"/>
      <c r="D55" s="1"/>
      <c r="E55" s="1">
        <f>(IF((F26=4)*AND(G27=2),0.59,))</f>
        <v>0</v>
      </c>
      <c r="F55" s="1"/>
      <c r="G55" s="1"/>
      <c r="H55" s="1"/>
    </row>
    <row r="56" spans="1:8" ht="12.75">
      <c r="A56" s="1"/>
      <c r="B56" s="1"/>
      <c r="C56" s="1"/>
      <c r="D56" s="1"/>
      <c r="E56" s="1">
        <f>(IF((F26=5)*AND(G27=2),0.48,))</f>
        <v>0</v>
      </c>
      <c r="F56" s="1"/>
      <c r="G56" s="1"/>
      <c r="H56" s="1"/>
    </row>
    <row r="57" spans="1:8" ht="12.75">
      <c r="A57" s="1"/>
      <c r="B57" s="1"/>
      <c r="C57" s="1"/>
      <c r="D57" s="1"/>
      <c r="E57" s="1">
        <f>(IF((F26=6)*AND(G27=2),0.41,))</f>
        <v>0</v>
      </c>
      <c r="F57" s="1"/>
      <c r="G57" s="1"/>
      <c r="H57" s="1"/>
    </row>
    <row r="58" spans="1:8" ht="12.75">
      <c r="A58" s="1"/>
      <c r="B58" s="1"/>
      <c r="C58" s="1"/>
      <c r="D58" s="1"/>
      <c r="E58" s="1">
        <f>(IF((F26=7)*AND(G27=2),0.36,))</f>
        <v>0</v>
      </c>
      <c r="F58" s="1"/>
      <c r="G58" s="1"/>
      <c r="H58" s="1"/>
    </row>
    <row r="59" spans="1:8" ht="12.75">
      <c r="A59" s="1"/>
      <c r="B59" s="1"/>
      <c r="C59" s="1"/>
      <c r="D59" s="1"/>
      <c r="E59" s="1">
        <f>(IF((F26=8)*AND(G27=2),0.32,))</f>
        <v>0</v>
      </c>
      <c r="F59" s="1"/>
      <c r="G59" s="1"/>
      <c r="H59" s="1"/>
    </row>
    <row r="60" spans="1:8" ht="12.75">
      <c r="A60" s="1"/>
      <c r="B60" s="1"/>
      <c r="C60" s="1"/>
      <c r="D60" s="1"/>
      <c r="E60" s="1">
        <f>(IF((F26=9)*AND(G27=2),0.289,))</f>
        <v>0</v>
      </c>
      <c r="F60" s="1"/>
      <c r="G60" s="1"/>
      <c r="H60" s="1"/>
    </row>
    <row r="61" spans="1:8" ht="12.75">
      <c r="A61" s="1"/>
      <c r="B61" s="1"/>
      <c r="C61" s="1"/>
      <c r="D61" s="1"/>
      <c r="E61" s="1">
        <f>(IF((F26=10)*AND(G27=2),0.263,))</f>
        <v>0</v>
      </c>
      <c r="F61" s="1"/>
      <c r="G61" s="1"/>
      <c r="H61" s="1"/>
    </row>
    <row r="62" spans="1:8" ht="12.75">
      <c r="A62" s="1"/>
      <c r="B62" s="1"/>
      <c r="C62" s="1"/>
      <c r="D62" s="1"/>
      <c r="E62" s="1">
        <f>(IF((F26=11)*AND(G27=2),0.242,))</f>
        <v>0</v>
      </c>
      <c r="F62" s="1"/>
      <c r="G62" s="1"/>
      <c r="H62" s="1"/>
    </row>
    <row r="63" spans="1:8" ht="12.75">
      <c r="A63" s="1"/>
      <c r="B63" s="1"/>
      <c r="C63" s="1"/>
      <c r="D63" s="1"/>
      <c r="E63" s="1">
        <f>(IF((F26=12)*AND(G27=2),0.23,))</f>
        <v>0</v>
      </c>
      <c r="F63" s="1"/>
      <c r="G63" s="1"/>
      <c r="H63" s="1"/>
    </row>
    <row r="64" spans="1:8" ht="12.75">
      <c r="A64" s="1"/>
      <c r="B64" s="1"/>
      <c r="C64" s="1"/>
      <c r="D64" s="1"/>
      <c r="E64" s="1">
        <f>(IF((F26=13)*AND(G27=2),0.218,))</f>
        <v>0</v>
      </c>
      <c r="F64" s="1"/>
      <c r="G64" s="1"/>
      <c r="H64" s="1"/>
    </row>
    <row r="65" spans="1:8" ht="12.75">
      <c r="A65" s="1"/>
      <c r="B65" s="1"/>
      <c r="C65" s="1"/>
      <c r="D65" s="1"/>
      <c r="E65" s="1">
        <f>(IF((F26=14)*AND(G27=2),0.213,))</f>
        <v>0</v>
      </c>
      <c r="F65" s="1"/>
      <c r="G65" s="1"/>
      <c r="H65" s="1"/>
    </row>
    <row r="66" spans="1:8" ht="12.75">
      <c r="A66" s="1"/>
      <c r="B66" s="1"/>
      <c r="C66" s="1"/>
      <c r="D66" s="1"/>
      <c r="E66" s="1">
        <f>(IF((F26=15)*AND(G27=2),0.21,))</f>
        <v>0</v>
      </c>
      <c r="F66" s="1"/>
      <c r="G66" s="1"/>
      <c r="H66" s="1"/>
    </row>
    <row r="67" spans="1:8" ht="12.75">
      <c r="A67" s="1"/>
      <c r="B67" s="1"/>
      <c r="C67" s="1"/>
      <c r="D67" s="1"/>
      <c r="E67" s="1">
        <f>(IF((F26=16)*AND(G27=2),0.207,))</f>
        <v>0</v>
      </c>
      <c r="F67" s="1"/>
      <c r="G67" s="1"/>
      <c r="H67" s="1"/>
    </row>
    <row r="68" spans="1:8" ht="12.75">
      <c r="A68" s="1"/>
      <c r="B68" s="1"/>
      <c r="C68" s="1"/>
      <c r="D68" s="1"/>
      <c r="E68" s="1">
        <f>(IF((F26=17)*AND(G27=2),0.205,))</f>
        <v>0</v>
      </c>
      <c r="F68" s="1"/>
      <c r="G68" s="1"/>
      <c r="H68" s="1"/>
    </row>
    <row r="69" spans="1:8" ht="12.75">
      <c r="A69" s="1"/>
      <c r="B69" s="1"/>
      <c r="C69" s="1"/>
      <c r="D69" s="1"/>
      <c r="E69" s="1">
        <f>(IF((F26=18)*AND(G27=2),0.204,))</f>
        <v>0</v>
      </c>
      <c r="F69" s="1"/>
      <c r="G69" s="1"/>
      <c r="H69" s="1"/>
    </row>
    <row r="70" spans="1:8" ht="12.75">
      <c r="A70" s="1"/>
      <c r="B70" s="1"/>
      <c r="C70" s="1"/>
      <c r="D70" s="1"/>
      <c r="E70" s="1">
        <f>(IF((F26=19)*AND(G27=2),0.203,))</f>
        <v>0</v>
      </c>
      <c r="F70" s="1"/>
      <c r="G70" s="1"/>
      <c r="H70" s="1"/>
    </row>
    <row r="71" spans="1:8" ht="12.75">
      <c r="A71" s="1"/>
      <c r="B71" s="1"/>
      <c r="C71" s="1"/>
      <c r="D71" s="1"/>
      <c r="E71" s="1">
        <f>(IF((F26=20)*AND(G27=2),0.202,))</f>
        <v>0</v>
      </c>
      <c r="F71" s="1"/>
      <c r="G71" s="1"/>
      <c r="H71" s="1"/>
    </row>
    <row r="72" spans="1:8" ht="12.75">
      <c r="A72" s="1"/>
      <c r="B72" s="1"/>
      <c r="C72" s="1"/>
      <c r="D72" s="1"/>
      <c r="E72" s="1">
        <f>(IF((F26=21)*AND(G27=2),0.17,))</f>
        <v>0</v>
      </c>
      <c r="F72" s="1"/>
      <c r="G72" s="1"/>
      <c r="H72" s="1"/>
    </row>
    <row r="73" spans="1:8" ht="12.75">
      <c r="A73" s="1"/>
      <c r="B73" s="1"/>
      <c r="C73" s="1"/>
      <c r="D73" s="1"/>
      <c r="E73" s="1">
        <f>(IF((F26=1)*AND(G27=3),0.7,))</f>
        <v>0</v>
      </c>
      <c r="F73" s="1"/>
      <c r="G73" s="1"/>
      <c r="H73" s="1"/>
    </row>
    <row r="74" spans="1:8" ht="12.75">
      <c r="A74" s="1"/>
      <c r="B74" s="1"/>
      <c r="C74" s="1"/>
      <c r="D74" s="1"/>
      <c r="E74" s="1">
        <f>(IF((F26=2)*AND(G27=3),0.56,))</f>
        <v>0</v>
      </c>
      <c r="F74" s="1"/>
      <c r="G74" s="1"/>
      <c r="H74" s="1"/>
    </row>
    <row r="75" spans="1:8" ht="12.75">
      <c r="A75" s="1"/>
      <c r="B75" s="1"/>
      <c r="C75" s="1"/>
      <c r="D75" s="1"/>
      <c r="E75" s="1">
        <f>(IF((F26=3)*AND(G27=3),0.48,))</f>
        <v>0</v>
      </c>
      <c r="F75" s="1"/>
      <c r="G75" s="1"/>
      <c r="H75" s="1"/>
    </row>
    <row r="76" spans="1:8" ht="12.75">
      <c r="A76" s="1"/>
      <c r="B76" s="1"/>
      <c r="C76" s="1"/>
      <c r="D76" s="1"/>
      <c r="E76" s="1">
        <f>(IF((F26=4)*AND(G27=3),0.43,))</f>
        <v>0</v>
      </c>
      <c r="F76" s="1"/>
      <c r="G76" s="1"/>
      <c r="H76" s="1"/>
    </row>
    <row r="77" spans="1:8" ht="12.75">
      <c r="A77" s="1"/>
      <c r="B77" s="1"/>
      <c r="C77" s="1"/>
      <c r="D77" s="1"/>
      <c r="E77" s="1">
        <f>(IF((F26=5)*AND(G27=3),0.4,))</f>
        <v>0</v>
      </c>
      <c r="F77" s="1"/>
      <c r="G77" s="1"/>
      <c r="H77" s="1"/>
    </row>
    <row r="78" spans="1:8" ht="12.75">
      <c r="A78" s="1"/>
      <c r="B78" s="1"/>
      <c r="C78" s="1"/>
      <c r="D78" s="1"/>
      <c r="E78" s="1">
        <f>(IF((F26=6)*AND(G27=3),0.392,))</f>
        <v>0</v>
      </c>
      <c r="F78" s="1"/>
      <c r="G78" s="1"/>
      <c r="H78" s="1"/>
    </row>
    <row r="79" spans="1:8" ht="12.75">
      <c r="A79" s="1"/>
      <c r="B79" s="1"/>
      <c r="C79" s="1"/>
      <c r="D79" s="1"/>
      <c r="E79" s="1">
        <f>(IF((F26=7)*AND(G27=3),0.37,))</f>
        <v>0</v>
      </c>
      <c r="F79" s="1"/>
      <c r="G79" s="1"/>
      <c r="H79" s="1"/>
    </row>
    <row r="80" spans="1:8" ht="12.75">
      <c r="A80" s="1"/>
      <c r="B80" s="1"/>
      <c r="C80" s="1"/>
      <c r="D80" s="1"/>
      <c r="E80" s="1">
        <f>(IF((F26=8)*AND(G27=3),0.36,))</f>
        <v>0</v>
      </c>
      <c r="F80" s="1"/>
      <c r="G80" s="1"/>
      <c r="H80" s="1"/>
    </row>
    <row r="81" spans="1:8" ht="12.75">
      <c r="A81" s="1"/>
      <c r="B81" s="1"/>
      <c r="C81" s="1"/>
      <c r="D81" s="1"/>
      <c r="E81" s="1">
        <f>(IF((F26=9)*AND(G27=3),0.345,))</f>
        <v>0</v>
      </c>
      <c r="F81" s="1"/>
      <c r="G81" s="1"/>
      <c r="H81" s="1"/>
    </row>
    <row r="82" spans="1:8" ht="12.75">
      <c r="A82" s="1"/>
      <c r="B82" s="1"/>
      <c r="C82" s="1"/>
      <c r="D82" s="1"/>
      <c r="E82" s="1">
        <f>(IF((F26=10)*AND(G27=3),0.34,))</f>
        <v>0</v>
      </c>
      <c r="F82" s="1"/>
      <c r="G82" s="1"/>
      <c r="H82" s="1"/>
    </row>
    <row r="83" spans="1:8" ht="12.75">
      <c r="A83" s="1"/>
      <c r="B83" s="1"/>
      <c r="C83" s="1"/>
      <c r="D83" s="1"/>
      <c r="E83" s="1">
        <f>(IF((F26=11)*AND(G27=3),0.3,))</f>
        <v>0</v>
      </c>
      <c r="F83" s="1"/>
      <c r="G83" s="1"/>
      <c r="H83" s="1"/>
    </row>
    <row r="84" spans="1:8" ht="12.75">
      <c r="A84" s="1"/>
      <c r="B84" s="1"/>
      <c r="C84" s="1"/>
      <c r="D84" s="1"/>
      <c r="E84" s="1">
        <f>(IF((F26=12)*AND(G27=3),0.28,))</f>
        <v>0</v>
      </c>
      <c r="F84" s="1"/>
      <c r="G84" s="1"/>
      <c r="H84" s="1"/>
    </row>
    <row r="85" spans="1:8" ht="12.75">
      <c r="A85" s="1"/>
      <c r="B85" s="1"/>
      <c r="C85" s="1"/>
      <c r="D85" s="1"/>
      <c r="E85" s="1">
        <f>(IF((F26=13)*AND(G27=3),0.25,))</f>
        <v>0</v>
      </c>
      <c r="F85" s="1"/>
      <c r="G85" s="1"/>
      <c r="H85" s="1"/>
    </row>
    <row r="86" spans="1:8" ht="12.75">
      <c r="A86" s="1"/>
      <c r="B86" s="1"/>
      <c r="C86" s="1"/>
      <c r="D86" s="1"/>
      <c r="E86" s="1">
        <f>(IF((F26=14)*AND(G27=3),0.23,))</f>
        <v>0</v>
      </c>
      <c r="F86" s="1"/>
      <c r="G86" s="1"/>
      <c r="H86" s="1"/>
    </row>
    <row r="87" spans="1:8" ht="12.75">
      <c r="A87" s="1"/>
      <c r="B87" s="1"/>
      <c r="C87" s="1"/>
      <c r="D87" s="1"/>
      <c r="E87" s="1">
        <f>(IF((F26=15)*AND(G27=3),0.215,))</f>
        <v>0</v>
      </c>
      <c r="F87" s="1"/>
      <c r="G87" s="1"/>
      <c r="H87" s="1"/>
    </row>
    <row r="88" spans="1:8" ht="12.75">
      <c r="A88" s="1"/>
      <c r="B88" s="1"/>
      <c r="C88" s="1"/>
      <c r="D88" s="1"/>
      <c r="E88" s="1">
        <f>(IF((F26=16)*AND(G27=3),0.203,))</f>
        <v>0</v>
      </c>
      <c r="F88" s="1"/>
      <c r="G88" s="1"/>
      <c r="H88" s="1"/>
    </row>
    <row r="89" spans="1:8" ht="12.75">
      <c r="A89" s="1"/>
      <c r="B89" s="1"/>
      <c r="C89" s="1"/>
      <c r="D89" s="1"/>
      <c r="E89" s="1">
        <f>(IF((F26=17)*AND(G27=3),0.195,))</f>
        <v>0</v>
      </c>
      <c r="F89" s="1"/>
      <c r="G89" s="1"/>
      <c r="H89" s="1"/>
    </row>
    <row r="90" spans="1:8" ht="12.75">
      <c r="A90" s="1"/>
      <c r="B90" s="1"/>
      <c r="C90" s="1"/>
      <c r="D90" s="1"/>
      <c r="E90" s="1">
        <f>(IF((F26=18)*AND(G27=3),0.192,))</f>
        <v>0</v>
      </c>
      <c r="F90" s="1"/>
      <c r="G90" s="1"/>
      <c r="H90" s="1"/>
    </row>
    <row r="91" spans="1:8" ht="12.75">
      <c r="A91" s="1"/>
      <c r="B91" s="1"/>
      <c r="C91" s="1"/>
      <c r="D91" s="1"/>
      <c r="E91" s="1">
        <f>(IF((F26=19)*AND(G27=3),0.187,))</f>
        <v>0</v>
      </c>
      <c r="F91" s="1"/>
      <c r="G91" s="1"/>
      <c r="H91" s="1"/>
    </row>
    <row r="92" spans="1:8" ht="12.75">
      <c r="A92" s="1"/>
      <c r="B92" s="1"/>
      <c r="C92" s="1"/>
      <c r="D92" s="1"/>
      <c r="E92" s="1">
        <f>(IF((F26=20)*AND(G27=3),0.185,))</f>
        <v>0</v>
      </c>
      <c r="F92" s="1"/>
      <c r="G92" s="1"/>
      <c r="H92" s="1"/>
    </row>
    <row r="93" spans="1:8" ht="12.75">
      <c r="A93" s="1"/>
      <c r="B93" s="1"/>
      <c r="C93" s="1"/>
      <c r="D93" s="1"/>
      <c r="E93" s="1">
        <f>(IF((F26=21)*AND(G27=3),0.15,))</f>
        <v>0</v>
      </c>
      <c r="F93" s="1"/>
      <c r="G93" s="1"/>
      <c r="H93" s="1"/>
    </row>
    <row r="94" spans="1:8" ht="12.75">
      <c r="A94" s="1"/>
      <c r="B94" s="1"/>
      <c r="C94" s="1"/>
      <c r="D94" s="1"/>
      <c r="E94" s="1">
        <f>(IF((F26=1)*AND(G27=4),0.75,))</f>
        <v>0</v>
      </c>
      <c r="F94" s="1"/>
      <c r="G94" s="1"/>
      <c r="H94" s="1"/>
    </row>
    <row r="95" spans="1:8" ht="12.75">
      <c r="A95" s="1"/>
      <c r="B95" s="1"/>
      <c r="C95" s="1"/>
      <c r="D95" s="1"/>
      <c r="E95" s="1">
        <f>(IF((F26=2)*AND(G27=4),0.64,))</f>
        <v>0</v>
      </c>
      <c r="F95" s="1"/>
      <c r="G95" s="1"/>
      <c r="H95" s="1"/>
    </row>
    <row r="96" spans="1:8" ht="12.75">
      <c r="A96" s="1"/>
      <c r="B96" s="1"/>
      <c r="C96" s="1"/>
      <c r="D96" s="1"/>
      <c r="E96" s="1">
        <f>(IF((F26=3)*AND(G27=4),0.52,))</f>
        <v>0</v>
      </c>
      <c r="F96" s="1"/>
      <c r="G96" s="1"/>
      <c r="H96" s="1"/>
    </row>
    <row r="97" spans="1:8" ht="12.75">
      <c r="A97" s="1"/>
      <c r="B97" s="1"/>
      <c r="C97" s="1"/>
      <c r="D97" s="1"/>
      <c r="E97" s="1">
        <f>(IF((F26=4)*AND(G27=4),0.39,))</f>
        <v>0</v>
      </c>
      <c r="F97" s="1"/>
      <c r="G97" s="1"/>
      <c r="H97" s="1"/>
    </row>
    <row r="98" spans="1:8" ht="12.75">
      <c r="A98" s="1"/>
      <c r="B98" s="1"/>
      <c r="C98" s="1"/>
      <c r="D98" s="1"/>
      <c r="E98" s="1">
        <f>(IF((F26=5)*AND(G27=4),0.375,))</f>
        <v>0</v>
      </c>
      <c r="F98" s="1"/>
      <c r="G98" s="1"/>
      <c r="H98" s="1"/>
    </row>
    <row r="99" spans="1:8" ht="12.75">
      <c r="A99" s="1"/>
      <c r="B99" s="1"/>
      <c r="C99" s="1"/>
      <c r="D99" s="1"/>
      <c r="E99" s="1">
        <f>(IF((F26=6)*AND(G27=4),0.36,))</f>
        <v>0</v>
      </c>
      <c r="F99" s="1"/>
      <c r="G99" s="1"/>
      <c r="H99" s="1"/>
    </row>
    <row r="100" spans="1:8" ht="12.75">
      <c r="A100" s="1"/>
      <c r="B100" s="1"/>
      <c r="C100" s="1"/>
      <c r="D100" s="1"/>
      <c r="E100" s="1">
        <f>(IF((F26=7)*AND(G27=4),0.345,))</f>
        <v>0</v>
      </c>
      <c r="F100" s="1"/>
      <c r="G100" s="1"/>
      <c r="H100" s="1"/>
    </row>
    <row r="101" spans="1:8" ht="12.75">
      <c r="A101" s="1"/>
      <c r="B101" s="1"/>
      <c r="C101" s="1"/>
      <c r="D101" s="1"/>
      <c r="E101" s="1">
        <f>(IF((F26=8)*AND(G27=4),0.335,))</f>
        <v>0</v>
      </c>
      <c r="F101" s="1"/>
      <c r="G101" s="1"/>
      <c r="H101" s="1"/>
    </row>
    <row r="102" spans="1:8" ht="12.75">
      <c r="A102" s="1"/>
      <c r="B102" s="1"/>
      <c r="C102" s="1"/>
      <c r="D102" s="1"/>
      <c r="E102" s="1">
        <f>(IF((F26=9)*AND(G27=4),0.32,))</f>
        <v>0</v>
      </c>
      <c r="F102" s="1"/>
      <c r="G102" s="1"/>
      <c r="H102" s="1"/>
    </row>
    <row r="103" spans="1:8" ht="12.75">
      <c r="A103" s="1"/>
      <c r="B103" s="1"/>
      <c r="C103" s="1"/>
      <c r="D103" s="1"/>
      <c r="E103" s="1">
        <f>(IF((F26=10)*AND(G27=4),0.315,))</f>
        <v>0</v>
      </c>
      <c r="F103" s="1"/>
      <c r="G103" s="1"/>
      <c r="H103" s="1"/>
    </row>
    <row r="104" spans="1:8" ht="12.75">
      <c r="A104" s="1"/>
      <c r="B104" s="1"/>
      <c r="C104" s="1"/>
      <c r="D104" s="1"/>
      <c r="E104" s="1">
        <f>(IF((F26=11)*AND(G27=4),0.275,))</f>
        <v>0</v>
      </c>
      <c r="F104" s="1"/>
      <c r="G104" s="1"/>
      <c r="H104" s="1"/>
    </row>
    <row r="105" spans="1:8" ht="12.75">
      <c r="A105" s="1"/>
      <c r="B105" s="1"/>
      <c r="C105" s="1"/>
      <c r="D105" s="1"/>
      <c r="E105" s="1">
        <f>(IF((F26=12)*AND(G27=4),0.26,))</f>
        <v>0</v>
      </c>
      <c r="F105" s="1"/>
      <c r="G105" s="1"/>
      <c r="H105" s="1"/>
    </row>
    <row r="106" spans="1:8" ht="12.75">
      <c r="A106" s="1"/>
      <c r="B106" s="1"/>
      <c r="C106" s="1"/>
      <c r="D106" s="1"/>
      <c r="E106" s="1">
        <f>(IF((F26=13)*AND(G27=4),0.235,))</f>
        <v>0</v>
      </c>
      <c r="F106" s="1"/>
      <c r="G106" s="1"/>
      <c r="H106" s="1"/>
    </row>
    <row r="107" spans="1:8" ht="12.75">
      <c r="A107" s="1"/>
      <c r="B107" s="1"/>
      <c r="C107" s="1"/>
      <c r="D107" s="1"/>
      <c r="E107" s="1">
        <f>(IF((F26=14)*AND(G27=4),0.205,))</f>
        <v>0</v>
      </c>
      <c r="F107" s="1"/>
      <c r="G107" s="1"/>
      <c r="H107" s="1"/>
    </row>
    <row r="108" spans="1:8" ht="12.75">
      <c r="A108" s="1"/>
      <c r="B108" s="1"/>
      <c r="C108" s="1"/>
      <c r="D108" s="1"/>
      <c r="E108" s="1">
        <f>(IF((F26=15)*AND(G27=4),0.193,))</f>
        <v>0</v>
      </c>
      <c r="F108" s="1"/>
      <c r="G108" s="1"/>
      <c r="H108" s="1"/>
    </row>
    <row r="109" spans="1:8" ht="12.75">
      <c r="A109" s="1"/>
      <c r="B109" s="1"/>
      <c r="C109" s="1"/>
      <c r="D109" s="1"/>
      <c r="E109" s="1">
        <f>(IF((F26=16)*AND(G27=4),0.186,))</f>
        <v>0</v>
      </c>
      <c r="F109" s="1"/>
      <c r="G109" s="1"/>
      <c r="H109" s="1"/>
    </row>
    <row r="110" spans="1:8" ht="12.75">
      <c r="A110" s="1"/>
      <c r="B110" s="1"/>
      <c r="C110" s="1"/>
      <c r="D110" s="1"/>
      <c r="E110" s="1">
        <f>(IF((F26=17)*AND(G27=4),0.18,))</f>
        <v>0</v>
      </c>
      <c r="F110" s="1"/>
      <c r="G110" s="1"/>
      <c r="H110" s="1"/>
    </row>
    <row r="111" spans="1:8" ht="12.75">
      <c r="A111" s="1"/>
      <c r="B111" s="1"/>
      <c r="C111" s="1"/>
      <c r="D111" s="1"/>
      <c r="E111" s="1">
        <f>(IF((F26=18)*AND(G27=4),0.175,))</f>
        <v>0</v>
      </c>
      <c r="F111" s="1"/>
      <c r="G111" s="1"/>
      <c r="H111" s="1"/>
    </row>
    <row r="112" spans="1:8" ht="12.75">
      <c r="A112" s="1"/>
      <c r="B112" s="1"/>
      <c r="C112" s="1"/>
      <c r="D112" s="1"/>
      <c r="E112" s="1">
        <f>(IF((F26=19)*AND(G27=4),0.171,))</f>
        <v>0</v>
      </c>
      <c r="F112" s="1"/>
      <c r="G112" s="1"/>
      <c r="H112" s="1"/>
    </row>
    <row r="113" spans="1:8" ht="12.75">
      <c r="A113" s="1"/>
      <c r="B113" s="1"/>
      <c r="C113" s="1"/>
      <c r="D113" s="1"/>
      <c r="E113" s="1">
        <f>(IF((F26=20)*AND(G27=4),0.163,))</f>
        <v>0</v>
      </c>
      <c r="F113" s="1"/>
      <c r="G113" s="1"/>
      <c r="H113" s="1"/>
    </row>
    <row r="114" spans="1:8" ht="12.75">
      <c r="A114" s="1"/>
      <c r="B114" s="1"/>
      <c r="C114" s="1"/>
      <c r="D114" s="1"/>
      <c r="E114" s="1">
        <f>(IF((F26=21)*AND(G27=4),0.135,))</f>
        <v>0</v>
      </c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</sheetData>
  <sheetProtection selectLockedCells="1" selectUnlockedCells="1"/>
  <protectedRanges>
    <protectedRange password="CF7A" sqref="D4:D24 D28" name="Диапазон1"/>
  </protectedRanges>
  <mergeCells count="14">
    <mergeCell ref="F2:G8"/>
    <mergeCell ref="I2:L2"/>
    <mergeCell ref="L3:L8"/>
    <mergeCell ref="K3:K8"/>
    <mergeCell ref="J3:J8"/>
    <mergeCell ref="I3:I8"/>
    <mergeCell ref="H2:H8"/>
    <mergeCell ref="A30:D30"/>
    <mergeCell ref="A1:E1"/>
    <mergeCell ref="A26:B26"/>
    <mergeCell ref="A29:B29"/>
    <mergeCell ref="C29:E29"/>
    <mergeCell ref="B2:B3"/>
    <mergeCell ref="A25:C25"/>
  </mergeCells>
  <printOptions/>
  <pageMargins left="0.75" right="2.42" top="0.6" bottom="5.17" header="0.5" footer="5.17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Rashid</Manager>
  <Company>Rashid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Rashid</dc:title>
  <dc:subject>Rashid</dc:subject>
  <dc:creator>rashid.zhan@mail.ru</dc:creator>
  <cp:keywords/>
  <dc:description>Пользователь...</dc:description>
  <cp:lastModifiedBy>Rashid</cp:lastModifiedBy>
  <cp:lastPrinted>2011-09-13T14:46:23Z</cp:lastPrinted>
  <dcterms:created xsi:type="dcterms:W3CDTF">2011-09-13T09:34:08Z</dcterms:created>
  <dcterms:modified xsi:type="dcterms:W3CDTF">2011-09-14T11:30:54Z</dcterms:modified>
  <cp:category/>
  <cp:version/>
  <cp:contentType/>
  <cp:contentStatus/>
</cp:coreProperties>
</file>