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04" activeTab="0"/>
  </bookViews>
  <sheets>
    <sheet name="Оглавление" sheetId="1" r:id="rId1"/>
    <sheet name="Описание работы с таблицами" sheetId="2" r:id="rId2"/>
    <sheet name="Основные показатели" sheetId="3" r:id="rId3"/>
    <sheet name="Параметры теплоносителя" sheetId="4" r:id="rId4"/>
    <sheet name="Расход тепла на хоз. нужды" sheetId="5" r:id="rId5"/>
    <sheet name="Расход тепла на растопку" sheetId="6" r:id="rId6"/>
    <sheet name="Расход тепла на паровые котлы" sheetId="7" r:id="rId7"/>
    <sheet name="Расход тепла на тех. нужды" sheetId="8" r:id="rId8"/>
    <sheet name="Расход тепла для нужд маз. хоз." sheetId="9" r:id="rId9"/>
    <sheet name="Прочие расходы тепла" sheetId="10" r:id="rId10"/>
    <sheet name="Сумм. расход тепла в котельной" sheetId="11" r:id="rId11"/>
    <sheet name="Полезный отпуск тепла" sheetId="12" r:id="rId12"/>
    <sheet name="Выработка и отпуск тепла" sheetId="13" r:id="rId13"/>
    <sheet name="КПД котлов" sheetId="14" r:id="rId14"/>
    <sheet name="Расчет расхода топлива" sheetId="15" r:id="rId15"/>
    <sheet name="Общие характеристики котельной" sheetId="16" r:id="rId16"/>
  </sheets>
  <definedNames>
    <definedName name="All">#REF!</definedName>
    <definedName name="_xlnm.Print_Titles" localSheetId="4">'Расход тепла на хоз. нужды'!$8:$9</definedName>
    <definedName name="_xlnm.Print_Area" localSheetId="12">'Выработка и отпуск тепла'!$A$3:$Q$14</definedName>
    <definedName name="_xlnm.Print_Area" localSheetId="13">'КПД котлов'!$A$3:$D$35</definedName>
    <definedName name="_xlnm.Print_Area" localSheetId="15">'Общие характеристики котельной'!$A$3:$D$31</definedName>
    <definedName name="_xlnm.Print_Area" localSheetId="1">'Описание работы с таблицами'!$A$3:$J$187</definedName>
    <definedName name="_xlnm.Print_Area" localSheetId="2">'Основные показатели'!$A$3:$R$41</definedName>
    <definedName name="_xlnm.Print_Area" localSheetId="3">'Параметры теплоносителя'!$A$4:$U$27</definedName>
    <definedName name="_xlnm.Print_Area" localSheetId="11">'Полезный отпуск тепла'!$A$3:$Q$27</definedName>
    <definedName name="_xlnm.Print_Area" localSheetId="9">'Прочие расходы тепла'!$A$3:$U$51</definedName>
    <definedName name="_xlnm.Print_Area" localSheetId="8">'Расход тепла для нужд маз. хоз.'!$A$3:$Z$62</definedName>
    <definedName name="_xlnm.Print_Area" localSheetId="6">'Расход тепла на паровые котлы'!$A$3:$S$30</definedName>
    <definedName name="_xlnm.Print_Area" localSheetId="5">'Расход тепла на растопку'!$A$3:$S$36</definedName>
    <definedName name="_xlnm.Print_Area" localSheetId="7">'Расход тепла на тех. нужды'!$A$3:$U$31</definedName>
    <definedName name="_xlnm.Print_Area" localSheetId="4">'Расход тепла на хоз. нужды'!$A$3:$Q$23</definedName>
    <definedName name="_xlnm.Print_Area" localSheetId="14">'Расчет расхода топлива'!$A$3:$P$17</definedName>
    <definedName name="_xlnm.Print_Area" localSheetId="10">'Сумм. расход тепла в котельной'!$A$3:$O$17</definedName>
  </definedNames>
  <calcPr fullCalcOnLoad="1"/>
</workbook>
</file>

<file path=xl/sharedStrings.xml><?xml version="1.0" encoding="utf-8"?>
<sst xmlns="http://schemas.openxmlformats.org/spreadsheetml/2006/main" count="796" uniqueCount="329">
  <si>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</si>
  <si>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</si>
  <si>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</si>
  <si>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</si>
  <si>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</si>
  <si>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</si>
  <si>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</si>
  <si>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</si>
  <si>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</si>
  <si>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</si>
  <si>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</si>
  <si>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</si>
  <si>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</si>
  <si>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№№</t>
  </si>
  <si>
    <t>°С</t>
  </si>
  <si>
    <t>Гкал</t>
  </si>
  <si>
    <t>Итого по расчету за год</t>
  </si>
  <si>
    <t xml:space="preserve">Расход тепла на растопку паровых котлов </t>
  </si>
  <si>
    <t>Тип котла</t>
  </si>
  <si>
    <t>Гкал/ч</t>
  </si>
  <si>
    <t>час</t>
  </si>
  <si>
    <t>Средняя продолжительность растопки</t>
  </si>
  <si>
    <t>Помесячный расход тепловой энергии, Гкал</t>
  </si>
  <si>
    <t xml:space="preserve">Расход тепла на растопку водогрейных котлов </t>
  </si>
  <si>
    <t>Назначение котла. Отопление - 1; ГВС - 0</t>
  </si>
  <si>
    <t>1 или 0</t>
  </si>
  <si>
    <t>Максимальная теплопроизводительность котла</t>
  </si>
  <si>
    <t>КВГМ-50</t>
  </si>
  <si>
    <t>КВГМ-10</t>
  </si>
  <si>
    <t>ТВГ-4</t>
  </si>
  <si>
    <t>СУММА по ПАРОВЫМ и ВОДОГРЕЙНЫМ КОТЛАМ</t>
  </si>
  <si>
    <t>Расход тепла на растопку котлов</t>
  </si>
  <si>
    <t>ДКВР-20</t>
  </si>
  <si>
    <t>ДЕ-25</t>
  </si>
  <si>
    <t>Расход тепла на технологические нужды</t>
  </si>
  <si>
    <t>Расход тепла на химводоочистку</t>
  </si>
  <si>
    <t>Схема ХВО</t>
  </si>
  <si>
    <t>Na – катионирование</t>
  </si>
  <si>
    <t>Н – катионирование с “холодной” регенерацией</t>
  </si>
  <si>
    <t>т/ч</t>
  </si>
  <si>
    <t>Ионит</t>
  </si>
  <si>
    <t>Сульфо - уголь</t>
  </si>
  <si>
    <t>Катионит КУ - 2</t>
  </si>
  <si>
    <t>Да - 1 / Нет - 0</t>
  </si>
  <si>
    <t>мг-экв/кг</t>
  </si>
  <si>
    <t>Жесткость исходной воды</t>
  </si>
  <si>
    <t>Выпар</t>
  </si>
  <si>
    <t>Наличие охладителя</t>
  </si>
  <si>
    <t>Среднее время работы в сутки</t>
  </si>
  <si>
    <t>Расход тепла деаэратором</t>
  </si>
  <si>
    <t>СУММА по ХВО и ДЕАЭРАТОРУ</t>
  </si>
  <si>
    <t>Температура исходной воды</t>
  </si>
  <si>
    <t>Температура после подогревателя воды</t>
  </si>
  <si>
    <t>Производительность ХВО (зима)</t>
  </si>
  <si>
    <t>Производительность ХВО (лето)</t>
  </si>
  <si>
    <t>Производительность деаэратора (зима)</t>
  </si>
  <si>
    <t>Производительность деаэратора (лето)</t>
  </si>
  <si>
    <t>Наличие бака взрыхления</t>
  </si>
  <si>
    <t>Тип деаэратора</t>
  </si>
  <si>
    <t>шт</t>
  </si>
  <si>
    <t>Расход тепла для нужд мазутного хозяйства</t>
  </si>
  <si>
    <t>Расход тепла на разогрев мазута при сливе</t>
  </si>
  <si>
    <t>Марка мазута</t>
  </si>
  <si>
    <t>М20</t>
  </si>
  <si>
    <t>М40</t>
  </si>
  <si>
    <t>М80</t>
  </si>
  <si>
    <t>Конечная температура подогрева в цистерне</t>
  </si>
  <si>
    <t>Тип цистерны</t>
  </si>
  <si>
    <t>т</t>
  </si>
  <si>
    <t>Кол-во цистерн</t>
  </si>
  <si>
    <t>Всего за год</t>
  </si>
  <si>
    <t>*Начальная температура в цистерне</t>
  </si>
  <si>
    <t>* - Для упрощения расчетов допустимо принять равной температуре наружного воздуха</t>
  </si>
  <si>
    <t>Фактическое время разогрева</t>
  </si>
  <si>
    <t>Расход тепла при хранении мазута</t>
  </si>
  <si>
    <t>Помесячный усредненный расход тепловой энергии, Qгод/12, Гкал</t>
  </si>
  <si>
    <t>Расход тепла на продувку паровых котлов продувочной водой</t>
  </si>
  <si>
    <t>Масса мазута в резервуаре</t>
  </si>
  <si>
    <t>Поверхность резервуара</t>
  </si>
  <si>
    <t>Емкость резервуара</t>
  </si>
  <si>
    <t>Расход топлива</t>
  </si>
  <si>
    <t>т/сут</t>
  </si>
  <si>
    <t>Температура слива мазута</t>
  </si>
  <si>
    <t>**Коэффициент теплопередачи стенок резервуара</t>
  </si>
  <si>
    <t>** - Коэффициент теплопередачи стенок резервуара, ккал/м2 °С, принимается равным 6,98 ккал/м2 °С для металлических неизолированных резервуаров; 3,49 - для изолированных; 0,314 - для подземных</t>
  </si>
  <si>
    <t>*** Средняя температура наружного воздуха за время хранения</t>
  </si>
  <si>
    <t>*** - Для подземных резервуаров  = 5°С</t>
  </si>
  <si>
    <t>Расход тепла на обогрев мазутопроводов</t>
  </si>
  <si>
    <t>мм</t>
  </si>
  <si>
    <t>м</t>
  </si>
  <si>
    <t>Наружный диаметр трубопровода</t>
  </si>
  <si>
    <t>Длина обогреваемого мазутопровода</t>
  </si>
  <si>
    <t>Продолжительность обогрева</t>
  </si>
  <si>
    <t>Расход тепла на паровые котлы</t>
  </si>
  <si>
    <t>Расход тепла на паровое распыление мазута</t>
  </si>
  <si>
    <t>Энтальпия пара</t>
  </si>
  <si>
    <t>ккал/кг</t>
  </si>
  <si>
    <t>Энтальпия питательной воды</t>
  </si>
  <si>
    <t>Количество распыляемого мазута одной форсункой</t>
  </si>
  <si>
    <t>Количество форсунок</t>
  </si>
  <si>
    <t>Плотность мазута</t>
  </si>
  <si>
    <r>
      <t>кГ/м</t>
    </r>
    <r>
      <rPr>
        <vertAlign val="superscript"/>
        <sz val="10"/>
        <rFont val="Times New Roman Cyr"/>
        <family val="1"/>
      </rPr>
      <t>3</t>
    </r>
  </si>
  <si>
    <t>ОБЩАЯ СУММА</t>
  </si>
  <si>
    <t>Напорная форсунка</t>
  </si>
  <si>
    <t>Паромеханическая форсунка</t>
  </si>
  <si>
    <t>Среднее время работы в году</t>
  </si>
  <si>
    <t>сут</t>
  </si>
  <si>
    <t>Расход тепла на обдувку поверхности нагрева паровых котлов</t>
  </si>
  <si>
    <t>Средняя паропроизводительность котла</t>
  </si>
  <si>
    <t xml:space="preserve">Энтальпия пара </t>
  </si>
  <si>
    <t>Продолжительность работы котла  в сутках</t>
  </si>
  <si>
    <t>СУММА по ПРОДУВКЕ и ОБДУВКЕ</t>
  </si>
  <si>
    <t>Потери тепла баками различного назначения</t>
  </si>
  <si>
    <t>Назначение бака</t>
  </si>
  <si>
    <t>Бак - аккумулятор</t>
  </si>
  <si>
    <t>Поверхность бака</t>
  </si>
  <si>
    <t>Температура воды в баке</t>
  </si>
  <si>
    <t>Продолжительность работы бака в сутки</t>
  </si>
  <si>
    <r>
      <t>м</t>
    </r>
    <r>
      <rPr>
        <vertAlign val="superscript"/>
        <sz val="10"/>
        <rFont val="Times New Roman Cyr"/>
        <family val="1"/>
      </rPr>
      <t>2</t>
    </r>
  </si>
  <si>
    <r>
      <t>м</t>
    </r>
    <r>
      <rPr>
        <vertAlign val="superscript"/>
        <sz val="10"/>
        <rFont val="Times New Roman Cyr"/>
        <family val="1"/>
      </rPr>
      <t>3</t>
    </r>
  </si>
  <si>
    <r>
      <t>ккал/м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 xml:space="preserve"> °С</t>
    </r>
  </si>
  <si>
    <t>Местонахождение бака</t>
  </si>
  <si>
    <t>Улица - 1 / помещение - 0</t>
  </si>
  <si>
    <t>Средняя температура воздуха в помещении</t>
  </si>
  <si>
    <t>Расход тепла на обмывку котлов</t>
  </si>
  <si>
    <t>Средняя продолжительность обмывки в год</t>
  </si>
  <si>
    <t>Система теплоснабжения</t>
  </si>
  <si>
    <t>Открытая - 1 / закрытая - 0</t>
  </si>
  <si>
    <t>Прочие расходы тепла</t>
  </si>
  <si>
    <t>СУММА</t>
  </si>
  <si>
    <t>Наименование</t>
  </si>
  <si>
    <t>Суммарный расход тепла в котельной (собственные нужды и потери)</t>
  </si>
  <si>
    <t>Наименование показателей</t>
  </si>
  <si>
    <t>Ед. измерения</t>
  </si>
  <si>
    <t>Значение</t>
  </si>
  <si>
    <t>Адрес</t>
  </si>
  <si>
    <t>Год постройки</t>
  </si>
  <si>
    <t>год</t>
  </si>
  <si>
    <t>ул. Добролюбова 5</t>
  </si>
  <si>
    <t>Установленная мощность</t>
  </si>
  <si>
    <t>Общие</t>
  </si>
  <si>
    <t>%</t>
  </si>
  <si>
    <t>МВт</t>
  </si>
  <si>
    <t>т у.т.</t>
  </si>
  <si>
    <t>Выработка, в том числе:</t>
  </si>
  <si>
    <t>Информация по котельной</t>
  </si>
  <si>
    <t>Присоединенная нагрузка, в том числе:</t>
  </si>
  <si>
    <t xml:space="preserve"> - максимальная нагрузка отопления;</t>
  </si>
  <si>
    <t xml:space="preserve"> - полезный отпуск;</t>
  </si>
  <si>
    <t xml:space="preserve"> - тепло на собственные нужды;</t>
  </si>
  <si>
    <t xml:space="preserve"> - максимальная нагрузка вентиляции;</t>
  </si>
  <si>
    <t xml:space="preserve"> - средняя нагрузка ГВС.</t>
  </si>
  <si>
    <t>КПД котлоагрегата</t>
  </si>
  <si>
    <t>*Среднее количество растопок в месяц</t>
  </si>
  <si>
    <t>Нагрузка</t>
  </si>
  <si>
    <t>Максимальная нагрузка отопления</t>
  </si>
  <si>
    <t>Максимальная нагрузка вентиляции</t>
  </si>
  <si>
    <t>Средняя нагрузка ГВС</t>
  </si>
  <si>
    <t>ВСЕГО</t>
  </si>
  <si>
    <t>Выработка тепла необходимого на отопление зданий, вентиляцию и ГВС</t>
  </si>
  <si>
    <t>Полезный отпуск тепловой энергии, Гкал</t>
  </si>
  <si>
    <t>Полезный отпуск</t>
  </si>
  <si>
    <t>Общие характеристики котельной</t>
  </si>
  <si>
    <t>"Южная"</t>
  </si>
  <si>
    <t>Годовая выработка и отпуск теплоты</t>
  </si>
  <si>
    <t>Годовое потребление топлива на выработку теплоты</t>
  </si>
  <si>
    <t>Расход тепла на собственные нужды</t>
  </si>
  <si>
    <t>Условное топливо</t>
  </si>
  <si>
    <t>Натуральное топливо</t>
  </si>
  <si>
    <t>Тип топлива</t>
  </si>
  <si>
    <t>Природный газ</t>
  </si>
  <si>
    <t>Уголь</t>
  </si>
  <si>
    <t>Средневзвешанный КПД котлов</t>
  </si>
  <si>
    <t>Средний КПД котельной с учетом расхода тепла на собственные нужды</t>
  </si>
  <si>
    <t>Определение количества топлива необходимого на выработку общего количества тепла</t>
  </si>
  <si>
    <t>ккал/кГ</t>
  </si>
  <si>
    <t>Величина</t>
  </si>
  <si>
    <t>Мазут</t>
  </si>
  <si>
    <t>Поставте - 1 напротив используемого топлива</t>
  </si>
  <si>
    <t>Теплотворная способность топлива</t>
  </si>
  <si>
    <t>Прочие сведения</t>
  </si>
  <si>
    <t>КПД котлов</t>
  </si>
  <si>
    <t xml:space="preserve">КПД паровых котлов </t>
  </si>
  <si>
    <t xml:space="preserve">КПД водогрейных котлов </t>
  </si>
  <si>
    <t>Средневзвешанный КПД котлов котельной</t>
  </si>
  <si>
    <t>Средневзвешанный КПД всех котлов</t>
  </si>
  <si>
    <t>Потери тепла в тепловой сети</t>
  </si>
  <si>
    <t>Тепло на собственные нужды и потери в котельной</t>
  </si>
  <si>
    <t>Оглавление</t>
  </si>
  <si>
    <t>ПРИМЕЧАНИЕ: Для оперативной работы с программой щелкни "мышкой" на нужном листе</t>
  </si>
  <si>
    <t>Возврат в оглавление</t>
  </si>
  <si>
    <t>Расход тепла на хозяйственные нужды</t>
  </si>
  <si>
    <t>Расход тепла на растопку</t>
  </si>
  <si>
    <t>Суммарный расход тепла в котельной</t>
  </si>
  <si>
    <t>Расчет расхода топлива</t>
  </si>
  <si>
    <r>
      <t>ккал/нм</t>
    </r>
    <r>
      <rPr>
        <vertAlign val="superscript"/>
        <sz val="10"/>
        <rFont val="Times New Roman Cyr"/>
        <family val="1"/>
      </rPr>
      <t>3</t>
    </r>
  </si>
  <si>
    <t>Потребность в топливе</t>
  </si>
  <si>
    <t>Полезный отпуск тепла</t>
  </si>
  <si>
    <t>Выработка и отпуск тепла котельной</t>
  </si>
  <si>
    <t>Выработка и отпуск тепла</t>
  </si>
  <si>
    <t>Выработка нормального пара</t>
  </si>
  <si>
    <t>Средняя паропроизводительность</t>
  </si>
  <si>
    <t>Процент использования производительности котлов</t>
  </si>
  <si>
    <t>Выработка пара (кроме отопления, вентиляции и ГВС)</t>
  </si>
  <si>
    <t>Пересчет нормального пара в тепло</t>
  </si>
  <si>
    <t>№</t>
  </si>
  <si>
    <t>Температура горячей воды, °С</t>
  </si>
  <si>
    <t>Температура холодной воды зимой, °С</t>
  </si>
  <si>
    <t>Среднее время простоя в сутки перед растопкой</t>
  </si>
  <si>
    <t>Потери тепла в тепловой сети, Гкал</t>
  </si>
  <si>
    <t>Потери тепла на котельной с утечками, парением, через изоляцию трубопроводов, опробование предохранительных клапанов и т.д.</t>
  </si>
  <si>
    <t xml:space="preserve"> Гкал</t>
  </si>
  <si>
    <t>* - значение может быть меньше 1 если количество запланированных остановок меньше 12 (остановка не каждый месяц)</t>
  </si>
  <si>
    <t xml:space="preserve">Расчет потерь тепла и потребления топлива на источнике теплоснабжения </t>
  </si>
  <si>
    <t xml:space="preserve"> (детальный расчет)</t>
  </si>
  <si>
    <t>Описание работы с таблицами</t>
  </si>
  <si>
    <t xml:space="preserve"> - потери тепла во внешней тепловой сети.</t>
  </si>
  <si>
    <r>
      <t xml:space="preserve">Наименование котельной:      </t>
    </r>
    <r>
      <rPr>
        <b/>
        <u val="single"/>
        <sz val="14"/>
        <rFont val="Arial Cyr"/>
        <family val="2"/>
      </rPr>
      <t>"Орбита"</t>
    </r>
  </si>
  <si>
    <r>
      <t xml:space="preserve">Адрес котельной:     </t>
    </r>
    <r>
      <rPr>
        <b/>
        <u val="single"/>
        <sz val="14"/>
        <rFont val="Arial Cyr"/>
        <family val="2"/>
      </rPr>
      <t>ул. Печорская, 34</t>
    </r>
  </si>
  <si>
    <r>
      <t xml:space="preserve">Год постройки:         </t>
    </r>
    <r>
      <rPr>
        <b/>
        <u val="single"/>
        <sz val="14"/>
        <rFont val="Arial Cyr"/>
        <family val="2"/>
      </rPr>
      <t>1968 -1995</t>
    </r>
  </si>
  <si>
    <t>2004 год</t>
  </si>
  <si>
    <t>ед. измер.</t>
  </si>
  <si>
    <t>Среднемесячная температура наружного воздуха, °С</t>
  </si>
  <si>
    <t>Количествово дней работы системы отопления</t>
  </si>
  <si>
    <t>Установленная мощность (проектная, паспортная) *)</t>
  </si>
  <si>
    <t>Располагаемая мощность (реальная) **)</t>
  </si>
  <si>
    <t>Контрактная нагрузка (договорная, расчетная, подключенная) ***)</t>
  </si>
  <si>
    <t>Фактическая нагрузка ****)</t>
  </si>
  <si>
    <t>Отпускаемое тепло (за год, предшествующий текущему)</t>
  </si>
  <si>
    <t>Гкал/год</t>
  </si>
  <si>
    <t>КПД котельной</t>
  </si>
  <si>
    <t>Температурный график расчетный</t>
  </si>
  <si>
    <r>
      <t>о</t>
    </r>
    <r>
      <rPr>
        <sz val="11"/>
        <rFont val="Arial Cyr"/>
        <family val="2"/>
      </rPr>
      <t>С/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2"/>
      </rPr>
      <t>С</t>
    </r>
  </si>
  <si>
    <t>Срезка температурного графика</t>
  </si>
  <si>
    <t>Теплотворная способность основного топлива (газ)</t>
  </si>
  <si>
    <t>ккал/ед</t>
  </si>
  <si>
    <t>Тип счетчика тепловой энергии</t>
  </si>
  <si>
    <t>указать марку</t>
  </si>
  <si>
    <t xml:space="preserve">Потребление основного топлива (газ) фактическое </t>
  </si>
  <si>
    <r>
      <t>тыс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>( тонн)</t>
    </r>
  </si>
  <si>
    <t xml:space="preserve">Потребление воды на собственные нужды </t>
  </si>
  <si>
    <r>
      <t>м</t>
    </r>
    <r>
      <rPr>
        <vertAlign val="superscript"/>
        <sz val="11"/>
        <rFont val="Arial Cyr"/>
        <family val="2"/>
      </rPr>
      <t>3</t>
    </r>
  </si>
  <si>
    <t>Подпитка</t>
  </si>
  <si>
    <t>Наличие системы химводоочистки</t>
  </si>
  <si>
    <t>(Да или Нет)</t>
  </si>
  <si>
    <t xml:space="preserve">Потребление электроэнергии по счетчику </t>
  </si>
  <si>
    <t>кВт*ч/год</t>
  </si>
  <si>
    <t>Продолжительность работы на проектной мощности  (за год, предшествующий текущему)</t>
  </si>
  <si>
    <t>Часов/год</t>
  </si>
  <si>
    <t>Персонал котельной</t>
  </si>
  <si>
    <t>человек</t>
  </si>
  <si>
    <t>Стоимость ремонта и обслуживания в год (за год, предшествующий текущему)</t>
  </si>
  <si>
    <t>тыс. руб.</t>
  </si>
  <si>
    <t>Примечание:</t>
  </si>
  <si>
    <t>*)      Максимальная мощность котельной при ее проектировании и при ее начале эксплуатации. Фактически равняется сумме мощностей всех котлов.</t>
  </si>
  <si>
    <t>**)     Максимальная мощность, которую может генерировать котельная в данный момент.</t>
  </si>
  <si>
    <t>***)    Нагрузка, на которую заключается договор поставки тепла между котельной и потребителем.</t>
  </si>
  <si>
    <t>****)  Нагрузка ,  поставленная потребителям по факту.</t>
  </si>
  <si>
    <t>Год проведения мониторинга</t>
  </si>
  <si>
    <t>Параметр</t>
  </si>
  <si>
    <t>Опросный лист 1</t>
  </si>
  <si>
    <t>Основные показатели</t>
  </si>
  <si>
    <t>Температурный график реальный</t>
  </si>
  <si>
    <t>Отпуск тепловой энергии и параметры теплоносителя</t>
  </si>
  <si>
    <t>Расчетный период</t>
  </si>
  <si>
    <r>
      <t xml:space="preserve">Отпущенная за расчетный период в теплосеть тепловая энергия </t>
    </r>
    <r>
      <rPr>
        <u val="single"/>
        <sz val="9"/>
        <rFont val="Arial Cyr"/>
        <family val="2"/>
      </rPr>
      <t>по показаниям теплосчетчиков на котельной</t>
    </r>
  </si>
  <si>
    <r>
      <t xml:space="preserve">Выставленная потребителям  к оплате, </t>
    </r>
    <r>
      <rPr>
        <u val="single"/>
        <sz val="9"/>
        <rFont val="Arial Cyr"/>
        <family val="2"/>
      </rPr>
      <t>по счетам-фактурам,</t>
    </r>
    <r>
      <rPr>
        <sz val="9"/>
        <rFont val="Arial Cyr"/>
        <family val="2"/>
      </rPr>
      <t xml:space="preserve"> суммарная тепловая энергия (отопление, вентиляция, ГВС)</t>
    </r>
  </si>
  <si>
    <t>Величина подпитки за расчетный период по показаниям подпиточного расходомера в котельной</t>
  </si>
  <si>
    <t>Средняя за расчетный период температура теплоносителя по подаче, зафикси-рованная теплосчет-чиком</t>
  </si>
  <si>
    <t>Средняя за расчетный период температура теплоносителя по возврату, зафикси-рованная теплосчет-чиком</t>
  </si>
  <si>
    <t xml:space="preserve">Давление теплосети на вводе </t>
  </si>
  <si>
    <t xml:space="preserve">Давление теплосети на выходе </t>
  </si>
  <si>
    <t>Расход теплоно-сителя</t>
  </si>
  <si>
    <t>Потреб-ление тепла (нараста-ющим итогом)</t>
  </si>
  <si>
    <r>
      <t xml:space="preserve">Потери тепловой энергии, связанные с </t>
    </r>
    <r>
      <rPr>
        <u val="single"/>
        <sz val="10"/>
        <rFont val="Arial Cyr"/>
        <family val="2"/>
      </rPr>
      <t>установленной сверхнорматив-ной утечкой</t>
    </r>
    <r>
      <rPr>
        <sz val="10"/>
        <rFont val="Arial"/>
        <family val="0"/>
      </rPr>
      <t xml:space="preserve"> в тепловой сети теплоснабжа-ющей организации</t>
    </r>
  </si>
  <si>
    <r>
      <t xml:space="preserve">Потери тепловой энергии, связанные с </t>
    </r>
    <r>
      <rPr>
        <u val="single"/>
        <sz val="9"/>
        <rFont val="Arial Cyr"/>
        <family val="2"/>
      </rPr>
      <t>установленной сверхнормати-вной утечкой</t>
    </r>
    <r>
      <rPr>
        <sz val="9"/>
        <rFont val="Arial Cyr"/>
        <family val="2"/>
      </rPr>
      <t xml:space="preserve"> у потребителей</t>
    </r>
  </si>
  <si>
    <r>
      <t xml:space="preserve">Потери тепловой энергии связанных с </t>
    </r>
    <r>
      <rPr>
        <u val="single"/>
        <sz val="9"/>
        <rFont val="Arial Cyr"/>
        <family val="2"/>
      </rPr>
      <t>не установленной сверхнорма-тивной утечкой</t>
    </r>
    <r>
      <rPr>
        <sz val="9"/>
        <rFont val="Arial Cyr"/>
        <family val="2"/>
      </rPr>
      <t xml:space="preserve"> в тепловой сети теплоснабжа-ющей организации и у потребителей</t>
    </r>
  </si>
  <si>
    <t>Начало</t>
  </si>
  <si>
    <t>Оконч.</t>
  </si>
  <si>
    <t>Под.</t>
  </si>
  <si>
    <t>Обр.</t>
  </si>
  <si>
    <r>
      <t>т (м</t>
    </r>
    <r>
      <rPr>
        <vertAlign val="superscript"/>
        <sz val="10"/>
        <rFont val="Arial CYR"/>
        <family val="2"/>
      </rPr>
      <t>3</t>
    </r>
    <r>
      <rPr>
        <sz val="10"/>
        <rFont val="Arial"/>
        <family val="0"/>
      </rPr>
      <t>)</t>
    </r>
  </si>
  <si>
    <r>
      <t xml:space="preserve"> </t>
    </r>
    <r>
      <rPr>
        <vertAlign val="superscript"/>
        <sz val="10"/>
        <rFont val="Arial CYR"/>
        <family val="2"/>
      </rPr>
      <t>0</t>
    </r>
    <r>
      <rPr>
        <sz val="10"/>
        <rFont val="Arial"/>
        <family val="0"/>
      </rPr>
      <t>С</t>
    </r>
  </si>
  <si>
    <t>кгс/см2</t>
  </si>
  <si>
    <t>кг/ч</t>
  </si>
  <si>
    <t>кВт</t>
  </si>
  <si>
    <t>кВт*ч</t>
  </si>
  <si>
    <t>кг</t>
  </si>
  <si>
    <t>Опросный лист 2</t>
  </si>
  <si>
    <t>Параметры теплоносителя</t>
  </si>
  <si>
    <t>Массовый расход теплоносителя (нарастающим итогом)</t>
  </si>
  <si>
    <t>Котлы. Горелки.</t>
  </si>
  <si>
    <t>Таблица 1.</t>
  </si>
  <si>
    <t>Кол.</t>
  </si>
  <si>
    <t>Тип горелки</t>
  </si>
  <si>
    <t>Кол. на один котел</t>
  </si>
  <si>
    <t>Срок эксплу-атации</t>
  </si>
  <si>
    <t>Основное топливо</t>
  </si>
  <si>
    <t>Резервное топливо</t>
  </si>
  <si>
    <t>Ожидаемый остаточный ресурс</t>
  </si>
  <si>
    <t>Макс. пиковая нагрузка</t>
  </si>
  <si>
    <t>Средне-годовой КПД</t>
  </si>
  <si>
    <t>Выработка тепла, 2002 г.</t>
  </si>
  <si>
    <t>Выработка тепла, 2003 г.</t>
  </si>
  <si>
    <t>Продолжит. работы на проектной мощности, 2003 г.</t>
  </si>
  <si>
    <t>Стоимость ремонта и обслужи-вания в год</t>
  </si>
  <si>
    <t>лет</t>
  </si>
  <si>
    <t>часов</t>
  </si>
  <si>
    <t>руб</t>
  </si>
  <si>
    <t>водогрейный ТВГ - 8М</t>
  </si>
  <si>
    <t>Насосы</t>
  </si>
  <si>
    <t>Таблица 2.</t>
  </si>
  <si>
    <t>Тип насоса и его функциональное назначение</t>
  </si>
  <si>
    <t>Макс. производи-тельность</t>
  </si>
  <si>
    <t>напор</t>
  </si>
  <si>
    <t>Мощность электро-двигателя</t>
  </si>
  <si>
    <t>Наработка</t>
  </si>
  <si>
    <t>Средняя производи-тельность за год</t>
  </si>
  <si>
    <r>
      <t xml:space="preserve">м 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/час</t>
    </r>
  </si>
  <si>
    <t>м в.ст.</t>
  </si>
  <si>
    <t>Квт</t>
  </si>
  <si>
    <t>часов/год</t>
  </si>
  <si>
    <r>
      <t xml:space="preserve">м 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/год</t>
    </r>
  </si>
  <si>
    <t>Вентиляторы</t>
  </si>
  <si>
    <t>Таблица 3.</t>
  </si>
  <si>
    <t>Тип вентилятора</t>
  </si>
  <si>
    <t>Напор</t>
  </si>
  <si>
    <t>Средняя производи-тельость за год</t>
  </si>
  <si>
    <r>
      <t>м</t>
    </r>
    <r>
      <rPr>
        <vertAlign val="superscript"/>
        <sz val="10"/>
        <rFont val="Arial CYR"/>
        <family val="2"/>
      </rPr>
      <t xml:space="preserve"> 3</t>
    </r>
    <r>
      <rPr>
        <sz val="10"/>
        <rFont val="Arial Cyr"/>
        <family val="2"/>
      </rPr>
      <t>/год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</si>
</sst>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0.000"/>
    <numFmt numFmtId="167" formatCode="0.0000"/>
    <numFmt numFmtId="168" formatCode="0.00000"/>
    <numFmt numFmtId="169" formatCode="_-* #,##0.000_р_._-;\-* #,##0.000_р_._-;_-* &quot;-&quot;_р_._-;_-@_-"/>
    <numFmt numFmtId="170" formatCode="_-* #,##0.0000_р_._-;\-* #,##0.0000_р_._-;_-* &quot;-&quot;_р_._-;_-@_-"/>
    <numFmt numFmtId="171" formatCode="_-* #,##0.00000_р_._-;\-* #,##0.00000_р_._-;_-* &quot;-&quot;_р_._-;_-@_-"/>
    <numFmt numFmtId="172" formatCode="0.0000000"/>
    <numFmt numFmtId="173" formatCode="0.000000"/>
    <numFmt numFmtId="174" formatCode="0.0"/>
    <numFmt numFmtId="175" formatCode="_-* #,##0.000_р_._-;\-* #,##0.000_р_._-;_-* &quot;-&quot;???_р_._-;_-@_-"/>
    <numFmt numFmtId="176" formatCode="_-* #,##0.0000_р_._-;\-* #,##0.0000_р_._-;_-* &quot;-&quot;????_р_._-;_-@_-"/>
    <numFmt numFmtId="177" formatCode="_-* #,##0.000_р_._-;\-* #,##0.000_р_._-;_-* &quot;-&quot;????_р_._-;_-@_-"/>
    <numFmt numFmtId="178" formatCode="_-* #,##0.00_р_._-;\-* #,##0.00_р_._-;_-* &quot;-&quot;????_р_._-;_-@_-"/>
    <numFmt numFmtId="179" formatCode="_-* #,##0.0_р_._-;\-* #,##0.0_р_._-;_-* &quot;-&quot;????_р_._-;_-@_-"/>
    <numFmt numFmtId="180" formatCode="_-* #,##0.0_р_._-;\-* #,##0.0_р_._-;_-* &quot;-&quot;?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_-* #,##0.00000000_р_._-;\-* #,##0.00000000_р_._-;_-* &quot;-&quot;_р_._-;_-@_-"/>
    <numFmt numFmtId="184" formatCode="_-* #,##0.000000000_р_._-;\-* #,##0.000000000_р_._-;_-* &quot;-&quot;_р_._-;_-@_-"/>
    <numFmt numFmtId="185" formatCode="_-* #,##0.0000000000_р_._-;\-* #,##0.0000000000_р_._-;_-* &quot;-&quot;_р_._-;_-@_-"/>
    <numFmt numFmtId="186" formatCode="_-* #,##0.00000000000_р_._-;\-* #,##0.00000000000_р_._-;_-* &quot;-&quot;_р_._-;_-@_-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\-"/>
    <numFmt numFmtId="192" formatCode=";;;"/>
    <numFmt numFmtId="193" formatCode="_-* #,##0.000000000000_р_._-;\-* #,##0.000000000000_р_._-;_-* &quot;-&quot;_р_._-;_-@_-"/>
    <numFmt numFmtId="194" formatCode="#,##0_ ;\-#,##0\ "/>
    <numFmt numFmtId="195" formatCode="#,##0.0_ ;\-#,##0.0\ "/>
    <numFmt numFmtId="196" formatCode="_-* #,##0.00_р_._-;\-* #,##0.00_р_._-;_-* &quot;-&quot;???_р_._-;_-@_-"/>
    <numFmt numFmtId="197" formatCode="_-* #,##0.0_р_._-;\-* #,##0.0_р_._-;_-* &quot;-&quot;???_р_._-;_-@_-"/>
    <numFmt numFmtId="198" formatCode="_-* #,##0_р_._-;\-* #,##0_р_._-;_-* &quot;-&quot;???_р_._-;_-@_-"/>
    <numFmt numFmtId="199" formatCode="_-* #,##0.0_р_._-;\-* #,##0.0_р_._-;_-* &quot;-&quot;??_р_._-;_-@_-"/>
    <numFmt numFmtId="200" formatCode="_-* #,##0.00_р_._-;\-* #,##0.00_р_._-;_-* &quot;-&quot;?_р_.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0"/>
    </font>
    <font>
      <b/>
      <sz val="14"/>
      <name val="Times New Roman Cyr"/>
      <family val="1"/>
    </font>
    <font>
      <b/>
      <i/>
      <sz val="12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36"/>
      <name val="Arial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u val="single"/>
      <sz val="14"/>
      <color indexed="12"/>
      <name val="Arial"/>
      <family val="0"/>
    </font>
    <font>
      <u val="single"/>
      <sz val="16"/>
      <color indexed="12"/>
      <name val="Arial"/>
      <family val="2"/>
    </font>
    <font>
      <b/>
      <sz val="12"/>
      <name val="Arial CYR"/>
      <family val="2"/>
    </font>
    <font>
      <b/>
      <u val="single"/>
      <sz val="12"/>
      <color indexed="12"/>
      <name val="Arial"/>
      <family val="2"/>
    </font>
    <font>
      <sz val="12"/>
      <name val="Times New Roman Cyr"/>
      <family val="1"/>
    </font>
    <font>
      <b/>
      <u val="single"/>
      <sz val="14"/>
      <color indexed="12"/>
      <name val="Arial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6"/>
      <color indexed="57"/>
      <name val="Arial"/>
      <family val="2"/>
    </font>
    <font>
      <sz val="14"/>
      <color indexed="57"/>
      <name val="Arial Cyr"/>
      <family val="0"/>
    </font>
    <font>
      <b/>
      <u val="single"/>
      <sz val="14"/>
      <name val="Arial Cyr"/>
      <family val="2"/>
    </font>
    <font>
      <b/>
      <u val="single"/>
      <sz val="16"/>
      <name val="Arial Cyr"/>
      <family val="2"/>
    </font>
    <font>
      <vertAlign val="superscript"/>
      <sz val="11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vertAlign val="superscript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5" fontId="6" fillId="0" borderId="1" xfId="22" applyNumberFormat="1" applyFont="1" applyBorder="1" applyAlignment="1">
      <alignment horizontal="center" vertical="center" textRotation="90" wrapText="1"/>
    </xf>
    <xf numFmtId="165" fontId="6" fillId="0" borderId="2" xfId="22" applyNumberFormat="1" applyFont="1" applyBorder="1" applyAlignment="1">
      <alignment horizontal="center" vertical="center" textRotation="90" wrapText="1"/>
    </xf>
    <xf numFmtId="165" fontId="6" fillId="0" borderId="3" xfId="22" applyNumberFormat="1" applyFont="1" applyBorder="1" applyAlignment="1">
      <alignment horizontal="center" vertical="center" textRotation="90" wrapText="1"/>
    </xf>
    <xf numFmtId="165" fontId="6" fillId="0" borderId="4" xfId="22" applyNumberFormat="1" applyFont="1" applyBorder="1" applyAlignment="1">
      <alignment horizontal="center" vertical="center" wrapText="1"/>
    </xf>
    <xf numFmtId="2" fontId="9" fillId="0" borderId="5" xfId="22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65" fontId="5" fillId="0" borderId="9" xfId="22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5" fontId="5" fillId="0" borderId="11" xfId="22" applyNumberFormat="1" applyFont="1" applyBorder="1" applyAlignment="1">
      <alignment/>
    </xf>
    <xf numFmtId="165" fontId="5" fillId="0" borderId="12" xfId="22" applyNumberFormat="1" applyFont="1" applyBorder="1" applyAlignment="1">
      <alignment/>
    </xf>
    <xf numFmtId="0" fontId="6" fillId="2" borderId="7" xfId="0" applyFont="1" applyFill="1" applyBorder="1" applyAlignment="1" applyProtection="1">
      <alignment horizontal="left" vertical="center"/>
      <protection locked="0"/>
    </xf>
    <xf numFmtId="165" fontId="5" fillId="0" borderId="13" xfId="22" applyNumberFormat="1" applyFont="1" applyBorder="1" applyAlignment="1">
      <alignment/>
    </xf>
    <xf numFmtId="165" fontId="5" fillId="0" borderId="14" xfId="22" applyNumberFormat="1" applyFont="1" applyBorder="1" applyAlignment="1">
      <alignment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65" fontId="5" fillId="0" borderId="15" xfId="22" applyNumberFormat="1" applyFont="1" applyBorder="1" applyAlignment="1">
      <alignment/>
    </xf>
    <xf numFmtId="165" fontId="5" fillId="0" borderId="16" xfId="22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165" fontId="5" fillId="0" borderId="20" xfId="22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165" fontId="5" fillId="0" borderId="22" xfId="22" applyNumberFormat="1" applyFont="1" applyBorder="1" applyAlignment="1">
      <alignment/>
    </xf>
    <xf numFmtId="165" fontId="5" fillId="0" borderId="1" xfId="22" applyNumberFormat="1" applyFont="1" applyBorder="1" applyAlignment="1">
      <alignment/>
    </xf>
    <xf numFmtId="165" fontId="5" fillId="0" borderId="3" xfId="22" applyNumberFormat="1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165" fontId="5" fillId="0" borderId="2" xfId="22" applyNumberFormat="1" applyFont="1" applyBorder="1" applyAlignment="1">
      <alignment/>
    </xf>
    <xf numFmtId="165" fontId="5" fillId="0" borderId="23" xfId="22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65" fontId="5" fillId="0" borderId="28" xfId="22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169" fontId="5" fillId="0" borderId="0" xfId="22" applyNumberFormat="1" applyFont="1" applyAlignment="1" applyProtection="1">
      <alignment/>
      <protection/>
    </xf>
    <xf numFmtId="165" fontId="5" fillId="0" borderId="0" xfId="22" applyNumberFormat="1" applyFont="1" applyAlignment="1" applyProtection="1">
      <alignment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69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165" fontId="6" fillId="0" borderId="31" xfId="22" applyNumberFormat="1" applyFont="1" applyBorder="1" applyAlignment="1" applyProtection="1">
      <alignment horizontal="center" vertical="center" textRotation="90" wrapText="1"/>
      <protection/>
    </xf>
    <xf numFmtId="165" fontId="6" fillId="0" borderId="1" xfId="22" applyNumberFormat="1" applyFont="1" applyBorder="1" applyAlignment="1" applyProtection="1">
      <alignment horizontal="center" vertical="center" textRotation="90" wrapText="1"/>
      <protection/>
    </xf>
    <xf numFmtId="165" fontId="6" fillId="0" borderId="2" xfId="22" applyNumberFormat="1" applyFont="1" applyBorder="1" applyAlignment="1" applyProtection="1">
      <alignment horizontal="center" vertical="center" textRotation="90" wrapText="1"/>
      <protection/>
    </xf>
    <xf numFmtId="165" fontId="6" fillId="0" borderId="3" xfId="22" applyNumberFormat="1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165" fontId="6" fillId="0" borderId="4" xfId="22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165" fontId="5" fillId="0" borderId="19" xfId="22" applyNumberFormat="1" applyFont="1" applyBorder="1" applyAlignment="1" applyProtection="1">
      <alignment/>
      <protection/>
    </xf>
    <xf numFmtId="0" fontId="5" fillId="0" borderId="8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165" fontId="8" fillId="0" borderId="5" xfId="22" applyNumberFormat="1" applyFont="1" applyBorder="1" applyAlignment="1">
      <alignment/>
    </xf>
    <xf numFmtId="165" fontId="11" fillId="0" borderId="0" xfId="22" applyNumberFormat="1" applyFont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0" fontId="5" fillId="2" borderId="15" xfId="0" applyFont="1" applyFill="1" applyBorder="1" applyAlignment="1" applyProtection="1">
      <alignment horizontal="center" vertical="center" wrapText="1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Fill="1" applyBorder="1" applyAlignment="1" applyProtection="1">
      <alignment horizontal="left" vertical="center" wrapText="1" shrinkToFit="1"/>
      <protection/>
    </xf>
    <xf numFmtId="171" fontId="5" fillId="0" borderId="1" xfId="22" applyNumberFormat="1" applyFont="1" applyBorder="1" applyAlignment="1" applyProtection="1">
      <alignment horizontal="center" vertical="center" wrapText="1" shrinkToFit="1"/>
      <protection/>
    </xf>
    <xf numFmtId="171" fontId="5" fillId="0" borderId="2" xfId="22" applyNumberFormat="1" applyFont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vertical="center" wrapText="1" shrinkToFit="1"/>
      <protection/>
    </xf>
    <xf numFmtId="0" fontId="5" fillId="0" borderId="24" xfId="0" applyFont="1" applyBorder="1" applyAlignment="1" applyProtection="1">
      <alignment horizontal="center" vertical="center" wrapText="1" shrinkToFit="1"/>
      <protection/>
    </xf>
    <xf numFmtId="0" fontId="6" fillId="0" borderId="15" xfId="0" applyFont="1" applyFill="1" applyBorder="1" applyAlignment="1" applyProtection="1">
      <alignment horizontal="left" vertical="center" wrapText="1" shrinkToFit="1"/>
      <protection/>
    </xf>
    <xf numFmtId="0" fontId="5" fillId="0" borderId="8" xfId="0" applyFont="1" applyBorder="1" applyAlignment="1" applyProtection="1">
      <alignment horizontal="center" vertical="center" wrapText="1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5" fontId="5" fillId="0" borderId="22" xfId="22" applyNumberFormat="1" applyFont="1" applyBorder="1" applyAlignment="1" applyProtection="1">
      <alignment/>
      <protection/>
    </xf>
    <xf numFmtId="165" fontId="5" fillId="0" borderId="28" xfId="22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 vertical="center"/>
      <protection/>
    </xf>
    <xf numFmtId="170" fontId="5" fillId="0" borderId="11" xfId="22" applyNumberFormat="1" applyFont="1" applyBorder="1" applyAlignment="1" applyProtection="1">
      <alignment/>
      <protection/>
    </xf>
    <xf numFmtId="170" fontId="5" fillId="0" borderId="9" xfId="22" applyNumberFormat="1" applyFont="1" applyBorder="1" applyAlignment="1" applyProtection="1">
      <alignment/>
      <protection/>
    </xf>
    <xf numFmtId="170" fontId="5" fillId="0" borderId="12" xfId="22" applyNumberFormat="1" applyFont="1" applyBorder="1" applyAlignment="1" applyProtection="1">
      <alignment/>
      <protection/>
    </xf>
    <xf numFmtId="170" fontId="9" fillId="0" borderId="5" xfId="22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74" fontId="6" fillId="0" borderId="0" xfId="0" applyNumberFormat="1" applyFont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171" fontId="5" fillId="0" borderId="3" xfId="22" applyNumberFormat="1" applyFont="1" applyBorder="1" applyAlignment="1" applyProtection="1">
      <alignment horizontal="center"/>
      <protection/>
    </xf>
    <xf numFmtId="171" fontId="5" fillId="0" borderId="13" xfId="22" applyNumberFormat="1" applyFont="1" applyBorder="1" applyAlignment="1" applyProtection="1">
      <alignment horizontal="center"/>
      <protection/>
    </xf>
    <xf numFmtId="171" fontId="5" fillId="0" borderId="23" xfId="22" applyNumberFormat="1" applyFont="1" applyBorder="1" applyAlignment="1" applyProtection="1">
      <alignment horizontal="center"/>
      <protection/>
    </xf>
    <xf numFmtId="171" fontId="5" fillId="0" borderId="14" xfId="22" applyNumberFormat="1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171" fontId="5" fillId="0" borderId="22" xfId="22" applyNumberFormat="1" applyFont="1" applyBorder="1" applyAlignment="1" applyProtection="1">
      <alignment horizontal="center"/>
      <protection/>
    </xf>
    <xf numFmtId="171" fontId="5" fillId="0" borderId="1" xfId="22" applyNumberFormat="1" applyFont="1" applyBorder="1" applyAlignment="1" applyProtection="1">
      <alignment horizontal="center"/>
      <protection/>
    </xf>
    <xf numFmtId="171" fontId="5" fillId="0" borderId="28" xfId="22" applyNumberFormat="1" applyFont="1" applyBorder="1" applyAlignment="1" applyProtection="1">
      <alignment horizontal="center"/>
      <protection/>
    </xf>
    <xf numFmtId="171" fontId="5" fillId="0" borderId="11" xfId="22" applyNumberFormat="1" applyFont="1" applyBorder="1" applyAlignment="1" applyProtection="1">
      <alignment horizontal="center"/>
      <protection/>
    </xf>
    <xf numFmtId="171" fontId="5" fillId="0" borderId="9" xfId="22" applyNumberFormat="1" applyFont="1" applyBorder="1" applyAlignment="1" applyProtection="1">
      <alignment horizontal="center"/>
      <protection/>
    </xf>
    <xf numFmtId="171" fontId="5" fillId="0" borderId="12" xfId="22" applyNumberFormat="1" applyFont="1" applyBorder="1" applyAlignment="1" applyProtection="1">
      <alignment horizontal="center"/>
      <protection/>
    </xf>
    <xf numFmtId="171" fontId="9" fillId="0" borderId="5" xfId="22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70" fontId="8" fillId="0" borderId="5" xfId="22" applyNumberFormat="1" applyFont="1" applyBorder="1" applyAlignment="1" applyProtection="1">
      <alignment horizontal="center"/>
      <protection/>
    </xf>
    <xf numFmtId="165" fontId="9" fillId="0" borderId="5" xfId="22" applyNumberFormat="1" applyFont="1" applyBorder="1" applyAlignment="1" applyProtection="1">
      <alignment horizontal="center"/>
      <protection/>
    </xf>
    <xf numFmtId="170" fontId="5" fillId="0" borderId="1" xfId="22" applyNumberFormat="1" applyFont="1" applyBorder="1" applyAlignment="1" applyProtection="1">
      <alignment horizontal="center" vertical="center" wrapText="1" shrinkToFit="1"/>
      <protection/>
    </xf>
    <xf numFmtId="170" fontId="5" fillId="0" borderId="2" xfId="22" applyNumberFormat="1" applyFont="1" applyBorder="1" applyAlignment="1" applyProtection="1">
      <alignment horizontal="center" vertical="center" wrapText="1" shrinkToFit="1"/>
      <protection/>
    </xf>
    <xf numFmtId="170" fontId="5" fillId="0" borderId="3" xfId="22" applyNumberFormat="1" applyFont="1" applyBorder="1" applyAlignment="1" applyProtection="1">
      <alignment horizontal="center" vertical="center" wrapText="1" shrinkToFit="1"/>
      <protection/>
    </xf>
    <xf numFmtId="170" fontId="5" fillId="0" borderId="13" xfId="22" applyNumberFormat="1" applyFont="1" applyBorder="1" applyAlignment="1" applyProtection="1">
      <alignment horizontal="center" vertical="center" wrapText="1" shrinkToFit="1"/>
      <protection/>
    </xf>
    <xf numFmtId="170" fontId="5" fillId="0" borderId="23" xfId="22" applyNumberFormat="1" applyFont="1" applyBorder="1" applyAlignment="1" applyProtection="1">
      <alignment horizontal="center" vertical="center" wrapText="1" shrinkToFit="1"/>
      <protection/>
    </xf>
    <xf numFmtId="170" fontId="5" fillId="0" borderId="14" xfId="22" applyNumberFormat="1" applyFont="1" applyBorder="1" applyAlignment="1" applyProtection="1">
      <alignment horizontal="center" vertical="center" wrapText="1" shrinkToFit="1"/>
      <protection/>
    </xf>
    <xf numFmtId="170" fontId="5" fillId="0" borderId="13" xfId="22" applyNumberFormat="1" applyFont="1" applyBorder="1" applyAlignment="1" applyProtection="1">
      <alignment vertical="center" wrapText="1" shrinkToFit="1"/>
      <protection/>
    </xf>
    <xf numFmtId="170" fontId="5" fillId="0" borderId="23" xfId="22" applyNumberFormat="1" applyFont="1" applyBorder="1" applyAlignment="1" applyProtection="1">
      <alignment vertical="center" wrapText="1" shrinkToFit="1"/>
      <protection/>
    </xf>
    <xf numFmtId="169" fontId="5" fillId="0" borderId="1" xfId="22" applyNumberFormat="1" applyFont="1" applyBorder="1" applyAlignment="1" applyProtection="1">
      <alignment/>
      <protection/>
    </xf>
    <xf numFmtId="169" fontId="5" fillId="0" borderId="3" xfId="22" applyNumberFormat="1" applyFont="1" applyBorder="1" applyAlignment="1" applyProtection="1">
      <alignment/>
      <protection/>
    </xf>
    <xf numFmtId="169" fontId="5" fillId="0" borderId="13" xfId="22" applyNumberFormat="1" applyFont="1" applyBorder="1" applyAlignment="1" applyProtection="1">
      <alignment/>
      <protection/>
    </xf>
    <xf numFmtId="169" fontId="5" fillId="0" borderId="23" xfId="22" applyNumberFormat="1" applyFont="1" applyBorder="1" applyAlignment="1" applyProtection="1">
      <alignment/>
      <protection/>
    </xf>
    <xf numFmtId="169" fontId="5" fillId="0" borderId="14" xfId="22" applyNumberFormat="1" applyFont="1" applyBorder="1" applyAlignment="1" applyProtection="1">
      <alignment/>
      <protection/>
    </xf>
    <xf numFmtId="169" fontId="5" fillId="0" borderId="22" xfId="22" applyNumberFormat="1" applyFont="1" applyBorder="1" applyAlignment="1" applyProtection="1">
      <alignment/>
      <protection/>
    </xf>
    <xf numFmtId="169" fontId="5" fillId="0" borderId="28" xfId="22" applyNumberFormat="1" applyFont="1" applyBorder="1" applyAlignment="1" applyProtection="1">
      <alignment/>
      <protection/>
    </xf>
    <xf numFmtId="169" fontId="5" fillId="0" borderId="11" xfId="22" applyNumberFormat="1" applyFont="1" applyBorder="1" applyAlignment="1" applyProtection="1">
      <alignment/>
      <protection/>
    </xf>
    <xf numFmtId="169" fontId="5" fillId="0" borderId="9" xfId="22" applyNumberFormat="1" applyFont="1" applyBorder="1" applyAlignment="1" applyProtection="1">
      <alignment/>
      <protection/>
    </xf>
    <xf numFmtId="169" fontId="5" fillId="0" borderId="12" xfId="22" applyNumberFormat="1" applyFont="1" applyBorder="1" applyAlignment="1" applyProtection="1">
      <alignment/>
      <protection/>
    </xf>
    <xf numFmtId="169" fontId="9" fillId="0" borderId="5" xfId="22" applyNumberFormat="1" applyFont="1" applyBorder="1" applyAlignment="1" applyProtection="1">
      <alignment horizontal="center"/>
      <protection/>
    </xf>
    <xf numFmtId="171" fontId="6" fillId="0" borderId="15" xfId="0" applyNumberFormat="1" applyFont="1" applyFill="1" applyBorder="1" applyAlignment="1" applyProtection="1">
      <alignment horizontal="left" vertical="center"/>
      <protection/>
    </xf>
    <xf numFmtId="171" fontId="6" fillId="0" borderId="6" xfId="0" applyNumberFormat="1" applyFont="1" applyFill="1" applyBorder="1" applyAlignment="1" applyProtection="1">
      <alignment horizontal="left" vertical="center"/>
      <protection/>
    </xf>
    <xf numFmtId="171" fontId="6" fillId="0" borderId="18" xfId="0" applyNumberFormat="1" applyFont="1" applyFill="1" applyBorder="1" applyAlignment="1" applyProtection="1">
      <alignment horizontal="left" vertical="center"/>
      <protection/>
    </xf>
    <xf numFmtId="169" fontId="5" fillId="0" borderId="19" xfId="22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 vertical="center"/>
      <protection/>
    </xf>
    <xf numFmtId="169" fontId="5" fillId="0" borderId="36" xfId="22" applyNumberFormat="1" applyFont="1" applyBorder="1" applyAlignment="1" applyProtection="1">
      <alignment/>
      <protection/>
    </xf>
    <xf numFmtId="169" fontId="5" fillId="0" borderId="14" xfId="22" applyNumberFormat="1" applyFont="1" applyBorder="1" applyAlignment="1" applyProtection="1">
      <alignment horizontal="center"/>
      <protection/>
    </xf>
    <xf numFmtId="169" fontId="5" fillId="0" borderId="5" xfId="22" applyNumberFormat="1" applyFont="1" applyBorder="1" applyAlignment="1" applyProtection="1">
      <alignment/>
      <protection/>
    </xf>
    <xf numFmtId="171" fontId="6" fillId="2" borderId="18" xfId="0" applyNumberFormat="1" applyFont="1" applyFill="1" applyBorder="1" applyAlignment="1" applyProtection="1">
      <alignment horizontal="left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195" fontId="6" fillId="2" borderId="18" xfId="0" applyNumberFormat="1" applyFont="1" applyFill="1" applyBorder="1" applyAlignment="1" applyProtection="1">
      <alignment horizontal="center" vertical="center"/>
      <protection locked="0"/>
    </xf>
    <xf numFmtId="194" fontId="6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26" xfId="0" applyNumberFormat="1" applyFont="1" applyFill="1" applyBorder="1" applyAlignment="1" applyProtection="1">
      <alignment horizontal="center" vertical="center"/>
      <protection locked="0"/>
    </xf>
    <xf numFmtId="171" fontId="6" fillId="2" borderId="15" xfId="0" applyNumberFormat="1" applyFont="1" applyFill="1" applyBorder="1" applyAlignment="1" applyProtection="1">
      <alignment horizontal="left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95" fontId="6" fillId="2" borderId="15" xfId="0" applyNumberFormat="1" applyFont="1" applyFill="1" applyBorder="1" applyAlignment="1" applyProtection="1">
      <alignment horizontal="center" vertical="center"/>
      <protection locked="0"/>
    </xf>
    <xf numFmtId="194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71" fontId="6" fillId="2" borderId="37" xfId="0" applyNumberFormat="1" applyFont="1" applyFill="1" applyBorder="1" applyAlignment="1" applyProtection="1">
      <alignment horizontal="left" vertical="center"/>
      <protection locked="0"/>
    </xf>
    <xf numFmtId="1" fontId="6" fillId="2" borderId="37" xfId="0" applyNumberFormat="1" applyFont="1" applyFill="1" applyBorder="1" applyAlignment="1" applyProtection="1">
      <alignment horizontal="center" vertical="center"/>
      <protection locked="0"/>
    </xf>
    <xf numFmtId="195" fontId="6" fillId="2" borderId="37" xfId="0" applyNumberFormat="1" applyFont="1" applyFill="1" applyBorder="1" applyAlignment="1" applyProtection="1">
      <alignment horizontal="center" vertical="center"/>
      <protection locked="0"/>
    </xf>
    <xf numFmtId="194" fontId="6" fillId="2" borderId="37" xfId="0" applyNumberFormat="1" applyFont="1" applyFill="1" applyBorder="1" applyAlignment="1" applyProtection="1">
      <alignment horizontal="center" vertical="center"/>
      <protection locked="0"/>
    </xf>
    <xf numFmtId="1" fontId="6" fillId="2" borderId="38" xfId="0" applyNumberFormat="1" applyFont="1" applyFill="1" applyBorder="1" applyAlignment="1" applyProtection="1">
      <alignment horizontal="center" vertical="center"/>
      <protection locked="0"/>
    </xf>
    <xf numFmtId="169" fontId="5" fillId="0" borderId="39" xfId="22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41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169" fontId="5" fillId="0" borderId="31" xfId="22" applyNumberFormat="1" applyFont="1" applyBorder="1" applyAlignment="1" applyProtection="1">
      <alignment/>
      <protection/>
    </xf>
    <xf numFmtId="2" fontId="6" fillId="2" borderId="26" xfId="0" applyNumberFormat="1" applyFont="1" applyFill="1" applyBorder="1" applyAlignment="1" applyProtection="1">
      <alignment horizontal="center" vertical="center"/>
      <protection locked="0"/>
    </xf>
    <xf numFmtId="41" fontId="6" fillId="2" borderId="18" xfId="0" applyNumberFormat="1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 applyProtection="1">
      <alignment/>
      <protection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wrapText="1"/>
      <protection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1" fontId="6" fillId="2" borderId="36" xfId="0" applyNumberFormat="1" applyFont="1" applyFill="1" applyBorder="1" applyAlignment="1" applyProtection="1">
      <alignment horizontal="center" vertical="center"/>
      <protection locked="0"/>
    </xf>
    <xf numFmtId="169" fontId="6" fillId="0" borderId="11" xfId="22" applyNumberFormat="1" applyFont="1" applyBorder="1" applyAlignment="1" applyProtection="1">
      <alignment horizontal="center"/>
      <protection/>
    </xf>
    <xf numFmtId="169" fontId="6" fillId="0" borderId="28" xfId="22" applyNumberFormat="1" applyFont="1" applyBorder="1" applyAlignment="1" applyProtection="1">
      <alignment horizontal="center"/>
      <protection/>
    </xf>
    <xf numFmtId="169" fontId="6" fillId="0" borderId="9" xfId="22" applyNumberFormat="1" applyFont="1" applyBorder="1" applyAlignment="1" applyProtection="1">
      <alignment horizontal="center"/>
      <protection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6" fillId="2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13" xfId="22" applyNumberFormat="1" applyFont="1" applyBorder="1" applyAlignment="1" applyProtection="1">
      <alignment horizontal="center"/>
      <protection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69" fontId="8" fillId="0" borderId="5" xfId="22" applyNumberFormat="1" applyFont="1" applyBorder="1" applyAlignment="1" applyProtection="1">
      <alignment horizontal="center"/>
      <protection/>
    </xf>
    <xf numFmtId="169" fontId="6" fillId="0" borderId="9" xfId="22" applyNumberFormat="1" applyFont="1" applyBorder="1" applyAlignment="1" applyProtection="1">
      <alignment/>
      <protection/>
    </xf>
    <xf numFmtId="165" fontId="6" fillId="0" borderId="11" xfId="22" applyNumberFormat="1" applyFont="1" applyBorder="1" applyAlignment="1">
      <alignment/>
    </xf>
    <xf numFmtId="165" fontId="6" fillId="0" borderId="9" xfId="22" applyNumberFormat="1" applyFont="1" applyBorder="1" applyAlignment="1">
      <alignment/>
    </xf>
    <xf numFmtId="165" fontId="6" fillId="0" borderId="19" xfId="22" applyNumberFormat="1" applyFont="1" applyBorder="1" applyAlignment="1">
      <alignment/>
    </xf>
    <xf numFmtId="170" fontId="6" fillId="0" borderId="11" xfId="22" applyNumberFormat="1" applyFont="1" applyBorder="1" applyAlignment="1" applyProtection="1">
      <alignment horizontal="center"/>
      <protection/>
    </xf>
    <xf numFmtId="170" fontId="6" fillId="0" borderId="9" xfId="22" applyNumberFormat="1" applyFont="1" applyBorder="1" applyAlignment="1" applyProtection="1">
      <alignment horizontal="center"/>
      <protection/>
    </xf>
    <xf numFmtId="170" fontId="6" fillId="0" borderId="19" xfId="22" applyNumberFormat="1" applyFont="1" applyBorder="1" applyAlignment="1" applyProtection="1">
      <alignment horizontal="center"/>
      <protection/>
    </xf>
    <xf numFmtId="165" fontId="6" fillId="0" borderId="29" xfId="22" applyNumberFormat="1" applyFont="1" applyBorder="1" applyAlignment="1" applyProtection="1">
      <alignment horizontal="center" vertical="center" textRotation="90" wrapText="1"/>
      <protection/>
    </xf>
    <xf numFmtId="169" fontId="5" fillId="0" borderId="29" xfId="22" applyNumberFormat="1" applyFont="1" applyBorder="1" applyAlignment="1" applyProtection="1">
      <alignment/>
      <protection/>
    </xf>
    <xf numFmtId="169" fontId="5" fillId="0" borderId="24" xfId="22" applyNumberFormat="1" applyFont="1" applyBorder="1" applyAlignment="1" applyProtection="1">
      <alignment/>
      <protection/>
    </xf>
    <xf numFmtId="169" fontId="5" fillId="0" borderId="42" xfId="22" applyNumberFormat="1" applyFont="1" applyBorder="1" applyAlignment="1" applyProtection="1">
      <alignment/>
      <protection/>
    </xf>
    <xf numFmtId="165" fontId="6" fillId="0" borderId="30" xfId="22" applyNumberFormat="1" applyFont="1" applyBorder="1" applyAlignment="1" applyProtection="1">
      <alignment horizontal="center" vertical="center" textRotation="90" wrapText="1"/>
      <protection/>
    </xf>
    <xf numFmtId="169" fontId="5" fillId="0" borderId="8" xfId="22" applyNumberFormat="1" applyFont="1" applyBorder="1" applyAlignment="1" applyProtection="1">
      <alignment/>
      <protection/>
    </xf>
    <xf numFmtId="169" fontId="5" fillId="0" borderId="6" xfId="22" applyNumberFormat="1" applyFont="1" applyBorder="1" applyAlignment="1" applyProtection="1">
      <alignment/>
      <protection/>
    </xf>
    <xf numFmtId="169" fontId="5" fillId="0" borderId="32" xfId="22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69" fontId="5" fillId="0" borderId="18" xfId="22" applyNumberFormat="1" applyFont="1" applyBorder="1" applyAlignment="1" applyProtection="1">
      <alignment/>
      <protection/>
    </xf>
    <xf numFmtId="194" fontId="5" fillId="2" borderId="18" xfId="0" applyNumberFormat="1" applyFont="1" applyFill="1" applyBorder="1" applyAlignment="1" applyProtection="1">
      <alignment horizontal="center" vertical="center"/>
      <protection locked="0"/>
    </xf>
    <xf numFmtId="194" fontId="5" fillId="2" borderId="43" xfId="0" applyNumberFormat="1" applyFont="1" applyFill="1" applyBorder="1" applyAlignment="1" applyProtection="1">
      <alignment horizontal="center" vertical="center"/>
      <protection locked="0"/>
    </xf>
    <xf numFmtId="194" fontId="5" fillId="2" borderId="44" xfId="0" applyNumberFormat="1" applyFont="1" applyFill="1" applyBorder="1" applyAlignment="1" applyProtection="1">
      <alignment horizontal="center" vertical="center"/>
      <protection locked="0"/>
    </xf>
    <xf numFmtId="194" fontId="5" fillId="2" borderId="15" xfId="0" applyNumberFormat="1" applyFont="1" applyFill="1" applyBorder="1" applyAlignment="1" applyProtection="1">
      <alignment horizontal="center" vertical="center"/>
      <protection locked="0"/>
    </xf>
    <xf numFmtId="194" fontId="5" fillId="2" borderId="45" xfId="0" applyNumberFormat="1" applyFont="1" applyFill="1" applyBorder="1" applyAlignment="1" applyProtection="1">
      <alignment horizontal="center" vertical="center"/>
      <protection locked="0"/>
    </xf>
    <xf numFmtId="194" fontId="5" fillId="2" borderId="46" xfId="0" applyNumberFormat="1" applyFont="1" applyFill="1" applyBorder="1" applyAlignment="1" applyProtection="1">
      <alignment horizontal="center" vertical="center"/>
      <protection locked="0"/>
    </xf>
    <xf numFmtId="194" fontId="5" fillId="2" borderId="6" xfId="0" applyNumberFormat="1" applyFont="1" applyFill="1" applyBorder="1" applyAlignment="1" applyProtection="1">
      <alignment horizontal="center" vertical="center"/>
      <protection locked="0"/>
    </xf>
    <xf numFmtId="194" fontId="5" fillId="2" borderId="47" xfId="0" applyNumberFormat="1" applyFont="1" applyFill="1" applyBorder="1" applyAlignment="1" applyProtection="1">
      <alignment horizontal="center" vertical="center"/>
      <protection locked="0"/>
    </xf>
    <xf numFmtId="194" fontId="5" fillId="2" borderId="32" xfId="0" applyNumberFormat="1" applyFont="1" applyFill="1" applyBorder="1" applyAlignment="1" applyProtection="1">
      <alignment horizontal="center" vertical="center"/>
      <protection locked="0"/>
    </xf>
    <xf numFmtId="169" fontId="6" fillId="0" borderId="48" xfId="22" applyNumberFormat="1" applyFont="1" applyBorder="1" applyAlignment="1" applyProtection="1">
      <alignment/>
      <protection/>
    </xf>
    <xf numFmtId="169" fontId="6" fillId="0" borderId="49" xfId="22" applyNumberFormat="1" applyFont="1" applyBorder="1" applyAlignment="1" applyProtection="1">
      <alignment/>
      <protection/>
    </xf>
    <xf numFmtId="169" fontId="8" fillId="0" borderId="5" xfId="22" applyNumberFormat="1" applyFont="1" applyBorder="1" applyAlignment="1" applyProtection="1">
      <alignment/>
      <protection/>
    </xf>
    <xf numFmtId="41" fontId="5" fillId="0" borderId="18" xfId="0" applyNumberFormat="1" applyFont="1" applyFill="1" applyBorder="1" applyAlignment="1" applyProtection="1">
      <alignment horizontal="left" vertical="center"/>
      <protection/>
    </xf>
    <xf numFmtId="41" fontId="5" fillId="0" borderId="15" xfId="0" applyNumberFormat="1" applyFont="1" applyFill="1" applyBorder="1" applyAlignment="1" applyProtection="1">
      <alignment horizontal="left" vertical="center"/>
      <protection/>
    </xf>
    <xf numFmtId="41" fontId="5" fillId="0" borderId="6" xfId="0" applyNumberFormat="1" applyFont="1" applyFill="1" applyBorder="1" applyAlignment="1" applyProtection="1">
      <alignment horizontal="left" vertical="center"/>
      <protection/>
    </xf>
    <xf numFmtId="1" fontId="6" fillId="2" borderId="18" xfId="0" applyNumberFormat="1" applyFont="1" applyFill="1" applyBorder="1" applyAlignment="1" applyProtection="1">
      <alignment horizontal="left" vertical="center"/>
      <protection locked="0"/>
    </xf>
    <xf numFmtId="1" fontId="6" fillId="2" borderId="15" xfId="0" applyNumberFormat="1" applyFont="1" applyFill="1" applyBorder="1" applyAlignment="1" applyProtection="1">
      <alignment horizontal="left" vertical="center"/>
      <protection locked="0"/>
    </xf>
    <xf numFmtId="1" fontId="6" fillId="2" borderId="37" xfId="0" applyNumberFormat="1" applyFont="1" applyFill="1" applyBorder="1" applyAlignment="1" applyProtection="1">
      <alignment horizontal="left" vertical="center"/>
      <protection locked="0"/>
    </xf>
    <xf numFmtId="169" fontId="5" fillId="0" borderId="14" xfId="22" applyNumberFormat="1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 horizontal="center" vertical="center"/>
      <protection/>
    </xf>
    <xf numFmtId="41" fontId="5" fillId="0" borderId="28" xfId="22" applyNumberFormat="1" applyFont="1" applyBorder="1" applyAlignment="1" applyProtection="1">
      <alignment/>
      <protection/>
    </xf>
    <xf numFmtId="165" fontId="11" fillId="0" borderId="0" xfId="22" applyNumberFormat="1" applyFont="1" applyAlignment="1" applyProtection="1">
      <alignment horizontal="left"/>
      <protection/>
    </xf>
    <xf numFmtId="171" fontId="6" fillId="0" borderId="44" xfId="0" applyNumberFormat="1" applyFont="1" applyFill="1" applyBorder="1" applyAlignment="1" applyProtection="1">
      <alignment horizontal="left" vertical="center"/>
      <protection/>
    </xf>
    <xf numFmtId="171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4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5" fillId="0" borderId="0" xfId="22" applyNumberFormat="1" applyFont="1" applyBorder="1" applyAlignment="1">
      <alignment/>
    </xf>
    <xf numFmtId="2" fontId="9" fillId="0" borderId="0" xfId="22" applyNumberFormat="1" applyFont="1" applyBorder="1" applyAlignment="1">
      <alignment horizont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197" fontId="8" fillId="0" borderId="5" xfId="0" applyNumberFormat="1" applyFont="1" applyBorder="1" applyAlignment="1" applyProtection="1">
      <alignment/>
      <protection/>
    </xf>
    <xf numFmtId="197" fontId="6" fillId="0" borderId="48" xfId="0" applyNumberFormat="1" applyFont="1" applyBorder="1" applyAlignment="1" applyProtection="1">
      <alignment/>
      <protection/>
    </xf>
    <xf numFmtId="197" fontId="6" fillId="0" borderId="9" xfId="0" applyNumberFormat="1" applyFont="1" applyBorder="1" applyAlignment="1" applyProtection="1">
      <alignment/>
      <protection/>
    </xf>
    <xf numFmtId="197" fontId="6" fillId="0" borderId="49" xfId="0" applyNumberFormat="1" applyFont="1" applyBorder="1" applyAlignment="1" applyProtection="1">
      <alignment/>
      <protection/>
    </xf>
    <xf numFmtId="164" fontId="5" fillId="0" borderId="5" xfId="22" applyNumberFormat="1" applyFont="1" applyBorder="1" applyAlignment="1" applyProtection="1">
      <alignment/>
      <protection/>
    </xf>
    <xf numFmtId="164" fontId="5" fillId="0" borderId="11" xfId="22" applyNumberFormat="1" applyFont="1" applyBorder="1" applyAlignment="1" applyProtection="1">
      <alignment/>
      <protection/>
    </xf>
    <xf numFmtId="164" fontId="5" fillId="0" borderId="9" xfId="22" applyNumberFormat="1" applyFont="1" applyBorder="1" applyAlignment="1" applyProtection="1">
      <alignment/>
      <protection/>
    </xf>
    <xf numFmtId="164" fontId="5" fillId="0" borderId="12" xfId="22" applyNumberFormat="1" applyFont="1" applyBorder="1" applyAlignment="1" applyProtection="1">
      <alignment/>
      <protection/>
    </xf>
    <xf numFmtId="164" fontId="9" fillId="0" borderId="5" xfId="22" applyNumberFormat="1" applyFont="1" applyBorder="1" applyAlignment="1" applyProtection="1">
      <alignment horizontal="center"/>
      <protection/>
    </xf>
    <xf numFmtId="164" fontId="5" fillId="0" borderId="14" xfId="22" applyNumberFormat="1" applyFont="1" applyBorder="1" applyAlignment="1" applyProtection="1">
      <alignment/>
      <protection/>
    </xf>
    <xf numFmtId="164" fontId="5" fillId="0" borderId="14" xfId="22" applyNumberFormat="1" applyFont="1" applyFill="1" applyBorder="1" applyAlignment="1" applyProtection="1">
      <alignment horizontal="left"/>
      <protection/>
    </xf>
    <xf numFmtId="164" fontId="5" fillId="0" borderId="36" xfId="22" applyNumberFormat="1" applyFont="1" applyFill="1" applyBorder="1" applyAlignment="1" applyProtection="1">
      <alignment/>
      <protection/>
    </xf>
    <xf numFmtId="41" fontId="5" fillId="0" borderId="22" xfId="22" applyNumberFormat="1" applyFont="1" applyFill="1" applyBorder="1" applyAlignment="1" applyProtection="1">
      <alignment/>
      <protection/>
    </xf>
    <xf numFmtId="41" fontId="5" fillId="0" borderId="19" xfId="22" applyNumberFormat="1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 wrapText="1" shrinkToFit="1"/>
      <protection/>
    </xf>
    <xf numFmtId="165" fontId="5" fillId="0" borderId="31" xfId="22" applyNumberFormat="1" applyFont="1" applyBorder="1" applyAlignment="1" applyProtection="1">
      <alignment horizontal="center" vertical="center" wrapText="1" shrinkToFit="1"/>
      <protection/>
    </xf>
    <xf numFmtId="165" fontId="5" fillId="0" borderId="1" xfId="22" applyNumberFormat="1" applyFont="1" applyBorder="1" applyAlignment="1" applyProtection="1">
      <alignment horizontal="center" vertical="center" wrapText="1" shrinkToFit="1"/>
      <protection/>
    </xf>
    <xf numFmtId="165" fontId="5" fillId="0" borderId="2" xfId="22" applyNumberFormat="1" applyFont="1" applyBorder="1" applyAlignment="1" applyProtection="1">
      <alignment horizontal="center" vertical="center" wrapText="1" shrinkToFit="1"/>
      <protection/>
    </xf>
    <xf numFmtId="165" fontId="5" fillId="0" borderId="3" xfId="22" applyNumberFormat="1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vertical="center" wrapText="1" shrinkToFit="1"/>
      <protection/>
    </xf>
    <xf numFmtId="0" fontId="6" fillId="0" borderId="51" xfId="0" applyFont="1" applyBorder="1" applyAlignment="1" applyProtection="1">
      <alignment vertical="center" wrapText="1" shrinkToFit="1"/>
      <protection/>
    </xf>
    <xf numFmtId="169" fontId="6" fillId="0" borderId="27" xfId="22" applyNumberFormat="1" applyFont="1" applyBorder="1" applyAlignment="1" applyProtection="1">
      <alignment horizontal="center" vertical="center" wrapText="1" shrinkToFit="1"/>
      <protection/>
    </xf>
    <xf numFmtId="165" fontId="5" fillId="0" borderId="36" xfId="22" applyNumberFormat="1" applyFont="1" applyBorder="1" applyAlignment="1" applyProtection="1">
      <alignment horizontal="center" vertical="center" wrapText="1" shrinkToFit="1"/>
      <protection/>
    </xf>
    <xf numFmtId="165" fontId="5" fillId="0" borderId="13" xfId="22" applyNumberFormat="1" applyFont="1" applyBorder="1" applyAlignment="1" applyProtection="1">
      <alignment horizontal="center" vertical="center" wrapText="1" shrinkToFit="1"/>
      <protection/>
    </xf>
    <xf numFmtId="165" fontId="5" fillId="0" borderId="23" xfId="22" applyNumberFormat="1" applyFont="1" applyBorder="1" applyAlignment="1" applyProtection="1">
      <alignment horizontal="center" vertical="center" wrapText="1" shrinkToFit="1"/>
      <protection/>
    </xf>
    <xf numFmtId="165" fontId="5" fillId="0" borderId="14" xfId="22" applyNumberFormat="1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6" fillId="0" borderId="52" xfId="0" applyFont="1" applyBorder="1" applyAlignment="1" applyProtection="1">
      <alignment vertical="center" wrapText="1" shrinkToFit="1"/>
      <protection/>
    </xf>
    <xf numFmtId="169" fontId="6" fillId="0" borderId="53" xfId="22" applyNumberFormat="1" applyFont="1" applyBorder="1" applyAlignment="1" applyProtection="1">
      <alignment horizontal="center" vertical="center" wrapText="1" shrinkToFit="1"/>
      <protection/>
    </xf>
    <xf numFmtId="165" fontId="5" fillId="0" borderId="54" xfId="22" applyNumberFormat="1" applyFont="1" applyBorder="1" applyAlignment="1" applyProtection="1">
      <alignment horizontal="center" vertical="center" wrapText="1" shrinkToFit="1"/>
      <protection/>
    </xf>
    <xf numFmtId="165" fontId="5" fillId="0" borderId="7" xfId="22" applyNumberFormat="1" applyFont="1" applyBorder="1" applyAlignment="1" applyProtection="1">
      <alignment horizontal="center" vertical="center" wrapText="1" shrinkToFit="1"/>
      <protection/>
    </xf>
    <xf numFmtId="165" fontId="5" fillId="0" borderId="53" xfId="22" applyNumberFormat="1" applyFont="1" applyBorder="1" applyAlignment="1" applyProtection="1">
      <alignment horizontal="center" vertical="center" wrapText="1" shrinkToFit="1"/>
      <protection/>
    </xf>
    <xf numFmtId="165" fontId="5" fillId="0" borderId="55" xfId="22" applyNumberFormat="1" applyFont="1" applyBorder="1" applyAlignment="1" applyProtection="1">
      <alignment horizontal="center" vertical="center" wrapText="1" shrinkToFit="1"/>
      <protection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 wrapText="1" shrinkToFit="1"/>
    </xf>
    <xf numFmtId="0" fontId="6" fillId="0" borderId="47" xfId="0" applyFont="1" applyBorder="1" applyAlignment="1" applyProtection="1">
      <alignment vertical="center" wrapText="1" shrinkToFi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58" xfId="0" applyBorder="1" applyAlignment="1">
      <alignment/>
    </xf>
    <xf numFmtId="0" fontId="18" fillId="0" borderId="59" xfId="18" applyFont="1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0" fillId="0" borderId="0" xfId="0" applyFont="1" applyAlignment="1">
      <alignment/>
    </xf>
    <xf numFmtId="0" fontId="20" fillId="0" borderId="60" xfId="0" applyFont="1" applyBorder="1" applyAlignment="1">
      <alignment/>
    </xf>
    <xf numFmtId="0" fontId="21" fillId="0" borderId="0" xfId="15" applyFont="1" applyBorder="1" applyAlignment="1">
      <alignment horizontal="center"/>
    </xf>
    <xf numFmtId="0" fontId="20" fillId="0" borderId="6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24" fillId="0" borderId="0" xfId="15" applyFont="1" applyBorder="1" applyAlignment="1">
      <alignment horizontal="center" vertical="center"/>
    </xf>
    <xf numFmtId="0" fontId="24" fillId="0" borderId="65" xfId="15" applyFont="1" applyBorder="1" applyAlignment="1">
      <alignment horizontal="center" vertical="center"/>
    </xf>
    <xf numFmtId="0" fontId="24" fillId="0" borderId="66" xfId="15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4" fillId="0" borderId="66" xfId="15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vertical="center" wrapText="1" shrinkToFit="1"/>
      <protection/>
    </xf>
    <xf numFmtId="165" fontId="6" fillId="0" borderId="13" xfId="22" applyNumberFormat="1" applyFont="1" applyBorder="1" applyAlignment="1" applyProtection="1">
      <alignment/>
      <protection/>
    </xf>
    <xf numFmtId="165" fontId="6" fillId="0" borderId="23" xfId="22" applyNumberFormat="1" applyFont="1" applyBorder="1" applyAlignment="1" applyProtection="1">
      <alignment/>
      <protection/>
    </xf>
    <xf numFmtId="165" fontId="6" fillId="0" borderId="6" xfId="22" applyNumberFormat="1" applyFont="1" applyBorder="1" applyAlignment="1" applyProtection="1">
      <alignment/>
      <protection/>
    </xf>
    <xf numFmtId="165" fontId="6" fillId="0" borderId="32" xfId="22" applyNumberFormat="1" applyFont="1" applyBorder="1" applyAlignment="1" applyProtection="1">
      <alignment/>
      <protection/>
    </xf>
    <xf numFmtId="199" fontId="9" fillId="0" borderId="5" xfId="0" applyNumberFormat="1" applyFont="1" applyBorder="1" applyAlignment="1" applyProtection="1">
      <alignment horizontal="center"/>
      <protection/>
    </xf>
    <xf numFmtId="165" fontId="6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/>
      <protection/>
    </xf>
    <xf numFmtId="199" fontId="8" fillId="0" borderId="5" xfId="0" applyNumberFormat="1" applyFont="1" applyBorder="1" applyAlignment="1" applyProtection="1">
      <alignment horizontal="center"/>
      <protection/>
    </xf>
    <xf numFmtId="20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43" fontId="6" fillId="0" borderId="0" xfId="0" applyNumberFormat="1" applyFont="1" applyAlignment="1" applyProtection="1">
      <alignment/>
      <protection/>
    </xf>
    <xf numFmtId="0" fontId="6" fillId="2" borderId="33" xfId="0" applyFont="1" applyFill="1" applyBorder="1" applyAlignment="1" applyProtection="1">
      <alignment/>
      <protection locked="0"/>
    </xf>
    <xf numFmtId="0" fontId="6" fillId="2" borderId="69" xfId="0" applyFont="1" applyFill="1" applyBorder="1" applyAlignment="1" applyProtection="1">
      <alignment/>
      <protection locked="0"/>
    </xf>
    <xf numFmtId="0" fontId="6" fillId="2" borderId="34" xfId="0" applyFont="1" applyFill="1" applyBorder="1" applyAlignment="1" applyProtection="1">
      <alignment/>
      <protection locked="0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 horizontal="center" vertical="center"/>
      <protection/>
    </xf>
    <xf numFmtId="41" fontId="5" fillId="0" borderId="36" xfId="22" applyNumberFormat="1" applyFont="1" applyBorder="1" applyAlignment="1" applyProtection="1">
      <alignment horizontal="center" vertical="center" wrapText="1" shrinkToFit="1"/>
      <protection/>
    </xf>
    <xf numFmtId="164" fontId="5" fillId="0" borderId="13" xfId="22" applyNumberFormat="1" applyFont="1" applyBorder="1" applyAlignment="1" applyProtection="1">
      <alignment horizontal="center" vertical="center" wrapText="1" shrinkToFit="1"/>
      <protection/>
    </xf>
    <xf numFmtId="164" fontId="5" fillId="0" borderId="23" xfId="22" applyNumberFormat="1" applyFont="1" applyBorder="1" applyAlignment="1" applyProtection="1">
      <alignment horizontal="center" vertical="center" wrapText="1" shrinkToFit="1"/>
      <protection/>
    </xf>
    <xf numFmtId="164" fontId="5" fillId="0" borderId="14" xfId="22" applyNumberFormat="1" applyFont="1" applyBorder="1" applyAlignment="1" applyProtection="1">
      <alignment horizontal="center" vertical="center" wrapText="1" shrinkToFit="1"/>
      <protection/>
    </xf>
    <xf numFmtId="41" fontId="5" fillId="0" borderId="13" xfId="22" applyNumberFormat="1" applyFont="1" applyBorder="1" applyAlignment="1" applyProtection="1">
      <alignment horizontal="center" vertical="center" wrapText="1" shrinkToFit="1"/>
      <protection/>
    </xf>
    <xf numFmtId="41" fontId="5" fillId="0" borderId="23" xfId="22" applyNumberFormat="1" applyFont="1" applyBorder="1" applyAlignment="1" applyProtection="1">
      <alignment horizontal="center" vertical="center" wrapText="1" shrinkToFit="1"/>
      <protection/>
    </xf>
    <xf numFmtId="41" fontId="5" fillId="0" borderId="14" xfId="22" applyNumberFormat="1" applyFont="1" applyBorder="1" applyAlignment="1" applyProtection="1">
      <alignment horizontal="center" vertical="center" wrapText="1" shrinkToFit="1"/>
      <protection/>
    </xf>
    <xf numFmtId="164" fontId="5" fillId="0" borderId="54" xfId="22" applyNumberFormat="1" applyFont="1" applyBorder="1" applyAlignment="1" applyProtection="1">
      <alignment horizontal="center" vertical="center" wrapText="1" shrinkToFit="1"/>
      <protection/>
    </xf>
    <xf numFmtId="169" fontId="6" fillId="0" borderId="23" xfId="22" applyNumberFormat="1" applyFont="1" applyBorder="1" applyAlignment="1" applyProtection="1">
      <alignment horizontal="center" vertical="center" wrapText="1" shrinkToFit="1"/>
      <protection/>
    </xf>
    <xf numFmtId="1" fontId="5" fillId="0" borderId="7" xfId="0" applyNumberFormat="1" applyFont="1" applyFill="1" applyBorder="1" applyAlignment="1" applyProtection="1">
      <alignment horizontal="center" vertical="center" wrapText="1" shrinkToFit="1"/>
      <protection/>
    </xf>
    <xf numFmtId="169" fontId="6" fillId="0" borderId="70" xfId="22" applyNumberFormat="1" applyFont="1" applyBorder="1" applyAlignment="1" applyProtection="1">
      <alignment horizontal="center" vertical="center" wrapText="1" shrinkToFit="1"/>
      <protection/>
    </xf>
    <xf numFmtId="166" fontId="5" fillId="2" borderId="30" xfId="22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71" xfId="0" applyFont="1" applyBorder="1" applyAlignment="1" applyProtection="1">
      <alignment/>
      <protection/>
    </xf>
    <xf numFmtId="169" fontId="9" fillId="0" borderId="49" xfId="22" applyNumberFormat="1" applyFont="1" applyBorder="1" applyAlignment="1" applyProtection="1">
      <alignment horizontal="center"/>
      <protection/>
    </xf>
    <xf numFmtId="164" fontId="5" fillId="0" borderId="7" xfId="22" applyNumberFormat="1" applyFont="1" applyBorder="1" applyAlignment="1" applyProtection="1">
      <alignment horizontal="center" vertical="center" wrapText="1" shrinkToFit="1"/>
      <protection/>
    </xf>
    <xf numFmtId="164" fontId="5" fillId="0" borderId="53" xfId="22" applyNumberFormat="1" applyFont="1" applyBorder="1" applyAlignment="1" applyProtection="1">
      <alignment horizontal="center" vertical="center" wrapText="1" shrinkToFit="1"/>
      <protection/>
    </xf>
    <xf numFmtId="164" fontId="5" fillId="0" borderId="55" xfId="22" applyNumberFormat="1" applyFont="1" applyBorder="1" applyAlignment="1" applyProtection="1">
      <alignment horizontal="center" vertical="center" wrapText="1" shrinkToFit="1"/>
      <protection/>
    </xf>
    <xf numFmtId="164" fontId="6" fillId="0" borderId="12" xfId="22" applyNumberFormat="1" applyFont="1" applyBorder="1" applyAlignment="1" applyProtection="1">
      <alignment horizontal="center"/>
      <protection/>
    </xf>
    <xf numFmtId="164" fontId="6" fillId="0" borderId="9" xfId="22" applyNumberFormat="1" applyFont="1" applyBorder="1" applyAlignment="1" applyProtection="1">
      <alignment horizontal="center"/>
      <protection/>
    </xf>
    <xf numFmtId="164" fontId="6" fillId="0" borderId="71" xfId="22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 vertical="center" wrapText="1" shrinkToFit="1"/>
      <protection/>
    </xf>
    <xf numFmtId="166" fontId="5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166" fontId="5" fillId="2" borderId="70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22" applyNumberFormat="1" applyFont="1" applyBorder="1" applyAlignment="1" applyProtection="1">
      <alignment horizontal="center" vertical="center" wrapText="1" shrinkToFit="1"/>
      <protection/>
    </xf>
    <xf numFmtId="164" fontId="5" fillId="0" borderId="2" xfId="22" applyNumberFormat="1" applyFont="1" applyBorder="1" applyAlignment="1" applyProtection="1">
      <alignment horizontal="center" vertical="center" wrapText="1" shrinkToFit="1"/>
      <protection/>
    </xf>
    <xf numFmtId="164" fontId="5" fillId="0" borderId="3" xfId="22" applyNumberFormat="1" applyFont="1" applyBorder="1" applyAlignment="1" applyProtection="1">
      <alignment horizontal="center" vertical="center" wrapText="1" shrinkToFit="1"/>
      <protection/>
    </xf>
    <xf numFmtId="164" fontId="5" fillId="2" borderId="7" xfId="22" applyNumberFormat="1" applyFont="1" applyFill="1" applyBorder="1" applyAlignment="1" applyProtection="1">
      <alignment horizontal="center" vertical="center" wrapText="1" shrinkToFit="1"/>
      <protection locked="0"/>
    </xf>
    <xf numFmtId="164" fontId="5" fillId="2" borderId="53" xfId="22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9" xfId="22" applyNumberFormat="1" applyFont="1" applyBorder="1" applyAlignment="1" applyProtection="1">
      <alignment/>
      <protection/>
    </xf>
    <xf numFmtId="164" fontId="5" fillId="0" borderId="28" xfId="0" applyNumberFormat="1" applyFont="1" applyBorder="1" applyAlignment="1" applyProtection="1">
      <alignment/>
      <protection/>
    </xf>
    <xf numFmtId="164" fontId="6" fillId="0" borderId="3" xfId="22" applyNumberFormat="1" applyFont="1" applyBorder="1" applyAlignment="1" applyProtection="1">
      <alignment horizontal="center" vertical="center" wrapText="1" shrinkToFit="1"/>
      <protection/>
    </xf>
    <xf numFmtId="164" fontId="5" fillId="0" borderId="6" xfId="22" applyNumberFormat="1" applyFont="1" applyBorder="1" applyAlignment="1" applyProtection="1">
      <alignment horizontal="center" vertical="center" wrapText="1" shrinkToFit="1"/>
      <protection/>
    </xf>
    <xf numFmtId="164" fontId="5" fillId="0" borderId="32" xfId="22" applyNumberFormat="1" applyFont="1" applyBorder="1" applyAlignment="1" applyProtection="1">
      <alignment horizontal="center" vertical="center" wrapText="1" shrinkToFit="1"/>
      <protection/>
    </xf>
    <xf numFmtId="164" fontId="6" fillId="0" borderId="4" xfId="22" applyNumberFormat="1" applyFont="1" applyBorder="1" applyAlignment="1" applyProtection="1">
      <alignment horizontal="center" vertical="center" wrapText="1" shrinkToFit="1"/>
      <protection/>
    </xf>
    <xf numFmtId="164" fontId="25" fillId="0" borderId="5" xfId="0" applyNumberFormat="1" applyFont="1" applyBorder="1" applyAlignment="1" applyProtection="1">
      <alignment/>
      <protection/>
    </xf>
    <xf numFmtId="164" fontId="6" fillId="0" borderId="48" xfId="0" applyNumberFormat="1" applyFont="1" applyBorder="1" applyAlignment="1" applyProtection="1">
      <alignment/>
      <protection/>
    </xf>
    <xf numFmtId="164" fontId="6" fillId="0" borderId="9" xfId="0" applyNumberFormat="1" applyFont="1" applyBorder="1" applyAlignment="1" applyProtection="1">
      <alignment/>
      <protection/>
    </xf>
    <xf numFmtId="164" fontId="6" fillId="0" borderId="49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23" xfId="0" applyNumberFormat="1" applyFont="1" applyBorder="1" applyAlignment="1">
      <alignment horizontal="center" vertical="center" wrapText="1" shrinkToFit="1"/>
    </xf>
    <xf numFmtId="164" fontId="6" fillId="0" borderId="32" xfId="0" applyNumberFormat="1" applyFont="1" applyBorder="1" applyAlignment="1">
      <alignment horizontal="center" vertical="center" wrapText="1" shrinkToFit="1"/>
    </xf>
    <xf numFmtId="164" fontId="6" fillId="0" borderId="72" xfId="0" applyNumberFormat="1" applyFont="1" applyBorder="1" applyAlignment="1">
      <alignment horizontal="center" vertical="center" wrapText="1" shrinkToFit="1"/>
    </xf>
    <xf numFmtId="165" fontId="5" fillId="0" borderId="36" xfId="22" applyNumberFormat="1" applyFont="1" applyBorder="1" applyAlignment="1" applyProtection="1">
      <alignment/>
      <protection/>
    </xf>
    <xf numFmtId="165" fontId="5" fillId="0" borderId="14" xfId="22" applyNumberFormat="1" applyFont="1" applyBorder="1" applyAlignment="1" applyProtection="1">
      <alignment/>
      <protection/>
    </xf>
    <xf numFmtId="165" fontId="5" fillId="0" borderId="11" xfId="22" applyNumberFormat="1" applyFont="1" applyBorder="1" applyAlignment="1" applyProtection="1">
      <alignment/>
      <protection/>
    </xf>
    <xf numFmtId="165" fontId="5" fillId="0" borderId="9" xfId="22" applyNumberFormat="1" applyFont="1" applyBorder="1" applyAlignment="1" applyProtection="1">
      <alignment/>
      <protection/>
    </xf>
    <xf numFmtId="165" fontId="5" fillId="0" borderId="12" xfId="22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>
      <alignment horizontal="center" vertical="center" wrapText="1" shrinkToFit="1"/>
    </xf>
    <xf numFmtId="174" fontId="6" fillId="0" borderId="0" xfId="0" applyNumberFormat="1" applyFont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6" fillId="0" borderId="31" xfId="22" applyNumberFormat="1" applyFont="1" applyBorder="1" applyAlignment="1">
      <alignment horizontal="center" vertical="center" textRotation="90" wrapText="1"/>
    </xf>
    <xf numFmtId="165" fontId="5" fillId="0" borderId="31" xfId="22" applyNumberFormat="1" applyFont="1" applyBorder="1" applyAlignment="1">
      <alignment/>
    </xf>
    <xf numFmtId="165" fontId="5" fillId="0" borderId="36" xfId="22" applyNumberFormat="1" applyFont="1" applyBorder="1" applyAlignment="1">
      <alignment/>
    </xf>
    <xf numFmtId="165" fontId="5" fillId="0" borderId="40" xfId="22" applyNumberFormat="1" applyFont="1" applyBorder="1" applyAlignment="1">
      <alignment/>
    </xf>
    <xf numFmtId="165" fontId="5" fillId="0" borderId="73" xfId="22" applyNumberFormat="1" applyFont="1" applyBorder="1" applyAlignment="1">
      <alignment/>
    </xf>
    <xf numFmtId="165" fontId="5" fillId="0" borderId="74" xfId="22" applyNumberFormat="1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170" fontId="5" fillId="0" borderId="31" xfId="22" applyNumberFormat="1" applyFont="1" applyBorder="1" applyAlignment="1" applyProtection="1">
      <alignment horizontal="center" vertical="center" wrapText="1" shrinkToFit="1"/>
      <protection/>
    </xf>
    <xf numFmtId="170" fontId="5" fillId="0" borderId="36" xfId="22" applyNumberFormat="1" applyFont="1" applyBorder="1" applyAlignment="1" applyProtection="1">
      <alignment horizontal="center" vertical="center" wrapText="1" shrinkToFit="1"/>
      <protection/>
    </xf>
    <xf numFmtId="170" fontId="5" fillId="0" borderId="36" xfId="22" applyNumberFormat="1" applyFont="1" applyBorder="1" applyAlignment="1" applyProtection="1">
      <alignment vertical="center" wrapText="1" shrinkToFit="1"/>
      <protection/>
    </xf>
    <xf numFmtId="171" fontId="5" fillId="0" borderId="31" xfId="22" applyNumberFormat="1" applyFont="1" applyBorder="1" applyAlignment="1" applyProtection="1">
      <alignment horizontal="center" vertical="center" wrapText="1" shrinkToFit="1"/>
      <protection/>
    </xf>
    <xf numFmtId="171" fontId="5" fillId="0" borderId="36" xfId="22" applyNumberFormat="1" applyFont="1" applyBorder="1" applyAlignment="1" applyProtection="1">
      <alignment horizontal="center"/>
      <protection/>
    </xf>
    <xf numFmtId="0" fontId="5" fillId="2" borderId="44" xfId="0" applyFont="1" applyFill="1" applyBorder="1" applyAlignment="1" applyProtection="1">
      <alignment horizontal="center" vertical="center" wrapText="1" shrinkToFit="1"/>
      <protection locked="0"/>
    </xf>
    <xf numFmtId="0" fontId="5" fillId="2" borderId="46" xfId="0" applyFont="1" applyFill="1" applyBorder="1" applyAlignment="1" applyProtection="1">
      <alignment horizontal="center" vertical="center" wrapText="1" shrinkToFit="1"/>
      <protection locked="0"/>
    </xf>
    <xf numFmtId="0" fontId="5" fillId="2" borderId="32" xfId="0" applyFont="1" applyFill="1" applyBorder="1" applyAlignment="1" applyProtection="1">
      <alignment horizontal="center" vertical="center" wrapText="1" shrinkToFit="1"/>
      <protection locked="0"/>
    </xf>
    <xf numFmtId="164" fontId="5" fillId="0" borderId="31" xfId="22" applyNumberFormat="1" applyFont="1" applyBorder="1" applyAlignment="1" applyProtection="1">
      <alignment horizontal="center" vertical="center" wrapText="1" shrinkToFit="1"/>
      <protection/>
    </xf>
    <xf numFmtId="164" fontId="5" fillId="0" borderId="36" xfId="22" applyNumberFormat="1" applyFont="1" applyBorder="1" applyAlignment="1" applyProtection="1">
      <alignment horizontal="center" vertical="center" wrapText="1" shrinkToFit="1"/>
      <protection/>
    </xf>
    <xf numFmtId="164" fontId="5" fillId="2" borderId="54" xfId="2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vertical="center" wrapText="1" shrinkToFit="1"/>
      <protection/>
    </xf>
    <xf numFmtId="0" fontId="6" fillId="0" borderId="23" xfId="0" applyFont="1" applyBorder="1" applyAlignment="1" applyProtection="1">
      <alignment vertical="center" wrapText="1" shrinkToFit="1"/>
      <protection/>
    </xf>
    <xf numFmtId="0" fontId="6" fillId="0" borderId="70" xfId="0" applyFont="1" applyBorder="1" applyAlignment="1" applyProtection="1">
      <alignment vertical="center" wrapText="1" shrinkToFit="1"/>
      <protection/>
    </xf>
    <xf numFmtId="164" fontId="5" fillId="0" borderId="41" xfId="22" applyNumberFormat="1" applyFont="1" applyBorder="1" applyAlignment="1" applyProtection="1">
      <alignment horizontal="center" vertical="center" wrapText="1" shrinkToFit="1"/>
      <protection/>
    </xf>
    <xf numFmtId="0" fontId="6" fillId="0" borderId="30" xfId="0" applyFont="1" applyFill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21" fillId="0" borderId="0" xfId="15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20" fillId="0" borderId="66" xfId="0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0" fontId="20" fillId="0" borderId="81" xfId="0" applyFont="1" applyBorder="1" applyAlignment="1">
      <alignment/>
    </xf>
    <xf numFmtId="0" fontId="6" fillId="2" borderId="7" xfId="0" applyFont="1" applyFill="1" applyBorder="1" applyAlignment="1" applyProtection="1">
      <alignment horizontal="center" vertical="center"/>
      <protection locked="0"/>
    </xf>
    <xf numFmtId="169" fontId="6" fillId="0" borderId="23" xfId="0" applyNumberFormat="1" applyFont="1" applyBorder="1" applyAlignment="1">
      <alignment horizontal="center" vertical="center" wrapText="1" shrinkToFit="1"/>
    </xf>
    <xf numFmtId="169" fontId="9" fillId="0" borderId="23" xfId="0" applyNumberFormat="1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26" fillId="0" borderId="82" xfId="15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38" fillId="0" borderId="55" xfId="0" applyFont="1" applyBorder="1" applyAlignment="1">
      <alignment horizontal="center" vertical="center"/>
    </xf>
    <xf numFmtId="0" fontId="30" fillId="0" borderId="83" xfId="0" applyFont="1" applyFill="1" applyBorder="1" applyAlignment="1">
      <alignment horizontal="left"/>
    </xf>
    <xf numFmtId="0" fontId="27" fillId="0" borderId="0" xfId="0" applyFont="1" applyAlignment="1" applyProtection="1">
      <alignment horizontal="center"/>
      <protection/>
    </xf>
    <xf numFmtId="0" fontId="26" fillId="0" borderId="84" xfId="15" applyFont="1" applyBorder="1" applyAlignment="1" applyProtection="1">
      <alignment horizontal="center" vertical="center"/>
      <protection/>
    </xf>
    <xf numFmtId="0" fontId="24" fillId="0" borderId="85" xfId="15" applyFont="1" applyBorder="1" applyAlignment="1">
      <alignment horizontal="center" vertical="center"/>
    </xf>
    <xf numFmtId="0" fontId="24" fillId="0" borderId="82" xfId="15" applyFont="1" applyBorder="1" applyAlignment="1">
      <alignment horizontal="center" vertical="center"/>
    </xf>
    <xf numFmtId="0" fontId="30" fillId="0" borderId="51" xfId="0" applyFont="1" applyFill="1" applyBorder="1" applyAlignment="1">
      <alignment horizontal="left"/>
    </xf>
    <xf numFmtId="0" fontId="30" fillId="0" borderId="86" xfId="0" applyFont="1" applyFill="1" applyBorder="1" applyAlignment="1">
      <alignment horizontal="left"/>
    </xf>
    <xf numFmtId="0" fontId="28" fillId="0" borderId="19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0" fontId="38" fillId="0" borderId="3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center"/>
      <protection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 applyProtection="1">
      <alignment horizontal="center" vertical="center"/>
      <protection/>
    </xf>
    <xf numFmtId="0" fontId="30" fillId="0" borderId="5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8" fillId="0" borderId="87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/>
      <protection/>
    </xf>
    <xf numFmtId="0" fontId="24" fillId="0" borderId="84" xfId="15" applyFont="1" applyBorder="1" applyAlignment="1">
      <alignment horizontal="center" vertical="center"/>
    </xf>
    <xf numFmtId="0" fontId="30" fillId="0" borderId="36" xfId="0" applyFont="1" applyFill="1" applyBorder="1" applyAlignment="1">
      <alignment horizontal="left"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86" xfId="0" applyFont="1" applyFill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0" fillId="0" borderId="88" xfId="0" applyFont="1" applyBorder="1" applyAlignment="1">
      <alignment horizontal="left"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36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center"/>
      <protection/>
    </xf>
    <xf numFmtId="0" fontId="23" fillId="0" borderId="55" xfId="0" applyFont="1" applyBorder="1" applyAlignment="1">
      <alignment horizontal="center"/>
    </xf>
    <xf numFmtId="0" fontId="30" fillId="0" borderId="20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left"/>
      <protection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0" fillId="0" borderId="74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>
      <alignment horizontal="center"/>
    </xf>
    <xf numFmtId="0" fontId="30" fillId="0" borderId="14" xfId="0" applyFont="1" applyBorder="1" applyAlignment="1" applyProtection="1">
      <alignment horizontal="center"/>
      <protection/>
    </xf>
    <xf numFmtId="0" fontId="30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/>
    </xf>
    <xf numFmtId="0" fontId="38" fillId="3" borderId="54" xfId="0" applyFont="1" applyFill="1" applyBorder="1" applyAlignment="1" applyProtection="1">
      <alignment horizontal="center" vertical="center"/>
      <protection/>
    </xf>
    <xf numFmtId="0" fontId="21" fillId="0" borderId="89" xfId="15" applyFont="1" applyBorder="1" applyAlignment="1">
      <alignment horizontal="center" vertical="center"/>
    </xf>
    <xf numFmtId="0" fontId="38" fillId="3" borderId="7" xfId="0" applyFont="1" applyFill="1" applyBorder="1" applyAlignment="1" applyProtection="1">
      <alignment horizontal="center" vertical="center"/>
      <protection/>
    </xf>
    <xf numFmtId="0" fontId="38" fillId="3" borderId="7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39" fillId="0" borderId="0" xfId="0" applyFont="1" applyAlignment="1">
      <alignment horizontal="center" vertical="center" wrapText="1" shrinkToFit="1"/>
    </xf>
    <xf numFmtId="0" fontId="39" fillId="0" borderId="90" xfId="0" applyFont="1" applyBorder="1" applyAlignment="1">
      <alignment horizontal="center" vertical="center" wrapText="1" shrinkToFit="1"/>
    </xf>
    <xf numFmtId="0" fontId="0" fillId="0" borderId="91" xfId="0" applyBorder="1" applyAlignment="1">
      <alignment horizontal="center" vertical="center" wrapText="1" shrinkToFit="1"/>
    </xf>
    <xf numFmtId="0" fontId="39" fillId="0" borderId="35" xfId="0" applyFont="1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90" xfId="0" applyBorder="1" applyAlignment="1">
      <alignment horizontal="center" vertical="center" wrapText="1" shrinkToFit="1"/>
    </xf>
    <xf numFmtId="0" fontId="42" fillId="0" borderId="5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7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0" fontId="0" fillId="0" borderId="92" xfId="0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39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4" xfId="0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8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9" fillId="0" borderId="4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1" fillId="0" borderId="0" xfId="0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/>
    </xf>
    <xf numFmtId="0" fontId="22" fillId="0" borderId="93" xfId="15" applyFont="1" applyBorder="1" applyAlignment="1">
      <alignment horizontal="center" vertical="center"/>
    </xf>
    <xf numFmtId="0" fontId="22" fillId="0" borderId="94" xfId="15" applyFont="1" applyBorder="1" applyAlignment="1">
      <alignment horizontal="center" vertical="center"/>
    </xf>
    <xf numFmtId="0" fontId="22" fillId="0" borderId="95" xfId="15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 shrinkToFit="1"/>
    </xf>
    <xf numFmtId="0" fontId="21" fillId="0" borderId="0" xfId="15" applyFont="1" applyBorder="1" applyAlignment="1">
      <alignment horizontal="center"/>
    </xf>
    <xf numFmtId="0" fontId="21" fillId="0" borderId="0" xfId="15" applyFont="1" applyBorder="1" applyAlignment="1">
      <alignment horizontal="center"/>
    </xf>
    <xf numFmtId="0" fontId="22" fillId="0" borderId="96" xfId="15" applyFont="1" applyBorder="1" applyAlignment="1">
      <alignment horizontal="center" vertical="center"/>
    </xf>
    <xf numFmtId="0" fontId="22" fillId="0" borderId="97" xfId="15" applyFont="1" applyBorder="1" applyAlignment="1">
      <alignment horizontal="center" vertical="center"/>
    </xf>
    <xf numFmtId="0" fontId="22" fillId="0" borderId="98" xfId="15" applyFont="1" applyBorder="1" applyAlignment="1">
      <alignment horizontal="center" vertical="center"/>
    </xf>
    <xf numFmtId="0" fontId="21" fillId="0" borderId="99" xfId="15" applyFont="1" applyBorder="1" applyAlignment="1">
      <alignment horizontal="center" vertical="center"/>
    </xf>
    <xf numFmtId="0" fontId="21" fillId="0" borderId="100" xfId="15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39" fillId="0" borderId="3" xfId="0" applyFont="1" applyBorder="1" applyAlignment="1">
      <alignment horizontal="center" vertical="center" wrapText="1" shrinkToFit="1"/>
    </xf>
    <xf numFmtId="0" fontId="39" fillId="0" borderId="55" xfId="0" applyFont="1" applyBorder="1" applyAlignment="1">
      <alignment horizontal="center" vertical="center" wrapText="1" shrinkToFit="1"/>
    </xf>
    <xf numFmtId="0" fontId="39" fillId="0" borderId="101" xfId="0" applyFont="1" applyBorder="1" applyAlignment="1">
      <alignment horizontal="center" vertical="center" wrapText="1" shrinkToFit="1"/>
    </xf>
    <xf numFmtId="0" fontId="39" fillId="0" borderId="102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39" fillId="0" borderId="67" xfId="0" applyFont="1" applyBorder="1" applyAlignment="1">
      <alignment horizontal="center" vertical="center" wrapText="1" shrinkToFit="1"/>
    </xf>
    <xf numFmtId="0" fontId="39" fillId="0" borderId="39" xfId="0" applyFont="1" applyBorder="1" applyAlignment="1">
      <alignment horizontal="center" vertical="center" wrapText="1" shrinkToFit="1"/>
    </xf>
    <xf numFmtId="0" fontId="39" fillId="0" borderId="43" xfId="0" applyFont="1" applyBorder="1" applyAlignment="1">
      <alignment horizontal="center" vertical="center" wrapText="1" shrinkToFit="1"/>
    </xf>
    <xf numFmtId="0" fontId="39" fillId="0" borderId="103" xfId="0" applyFont="1" applyBorder="1" applyAlignment="1">
      <alignment horizontal="center" vertical="center" wrapText="1" shrinkToFit="1"/>
    </xf>
    <xf numFmtId="0" fontId="4" fillId="0" borderId="104" xfId="0" applyFont="1" applyBorder="1" applyAlignment="1">
      <alignment horizontal="center" vertical="center" wrapText="1" shrinkToFit="1"/>
    </xf>
    <xf numFmtId="0" fontId="4" fillId="0" borderId="105" xfId="0" applyFont="1" applyBorder="1" applyAlignment="1">
      <alignment horizontal="center" vertical="center" wrapText="1" shrinkToFit="1"/>
    </xf>
    <xf numFmtId="165" fontId="11" fillId="0" borderId="0" xfId="22" applyNumberFormat="1" applyFont="1" applyAlignment="1" applyProtection="1">
      <alignment horizont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6" fillId="0" borderId="47" xfId="22" applyNumberFormat="1" applyFont="1" applyBorder="1" applyAlignment="1">
      <alignment horizontal="center" vertical="center" wrapText="1"/>
    </xf>
    <xf numFmtId="165" fontId="6" fillId="0" borderId="88" xfId="22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194" fontId="5" fillId="2" borderId="27" xfId="0" applyNumberFormat="1" applyFont="1" applyFill="1" applyBorder="1" applyAlignment="1" applyProtection="1">
      <alignment horizontal="center" vertical="center"/>
      <protection locked="0"/>
    </xf>
    <xf numFmtId="194" fontId="5" fillId="2" borderId="36" xfId="0" applyNumberFormat="1" applyFont="1" applyFill="1" applyBorder="1" applyAlignment="1" applyProtection="1">
      <alignment horizontal="center" vertical="center"/>
      <protection locked="0"/>
    </xf>
    <xf numFmtId="194" fontId="5" fillId="2" borderId="25" xfId="0" applyNumberFormat="1" applyFont="1" applyFill="1" applyBorder="1" applyAlignment="1" applyProtection="1">
      <alignment horizontal="center" vertical="center"/>
      <protection locked="0"/>
    </xf>
    <xf numFmtId="194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88" xfId="0" applyFont="1" applyBorder="1" applyAlignment="1" applyProtection="1">
      <alignment horizontal="center" vertical="center" wrapText="1"/>
      <protection/>
    </xf>
    <xf numFmtId="194" fontId="5" fillId="2" borderId="26" xfId="0" applyNumberFormat="1" applyFont="1" applyFill="1" applyBorder="1" applyAlignment="1" applyProtection="1">
      <alignment horizontal="center" vertical="center"/>
      <protection locked="0"/>
    </xf>
    <xf numFmtId="194" fontId="5" fillId="2" borderId="105" xfId="0" applyNumberFormat="1" applyFont="1" applyFill="1" applyBorder="1" applyAlignment="1" applyProtection="1">
      <alignment horizontal="center" vertical="center"/>
      <protection locked="0"/>
    </xf>
    <xf numFmtId="194" fontId="5" fillId="2" borderId="86" xfId="0" applyNumberFormat="1" applyFont="1" applyFill="1" applyBorder="1" applyAlignment="1" applyProtection="1">
      <alignment horizontal="center" vertical="center"/>
      <protection locked="0"/>
    </xf>
    <xf numFmtId="41" fontId="5" fillId="2" borderId="27" xfId="0" applyNumberFormat="1" applyFont="1" applyFill="1" applyBorder="1" applyAlignment="1" applyProtection="1">
      <alignment horizontal="center" vertical="center"/>
      <protection locked="0"/>
    </xf>
    <xf numFmtId="41" fontId="5" fillId="2" borderId="86" xfId="0" applyNumberFormat="1" applyFont="1" applyFill="1" applyBorder="1" applyAlignment="1" applyProtection="1">
      <alignment horizontal="center" vertical="center"/>
      <protection locked="0"/>
    </xf>
    <xf numFmtId="41" fontId="5" fillId="2" borderId="25" xfId="0" applyNumberFormat="1" applyFont="1" applyFill="1" applyBorder="1" applyAlignment="1" applyProtection="1">
      <alignment horizontal="center" vertical="center"/>
      <protection locked="0"/>
    </xf>
    <xf numFmtId="41" fontId="5" fillId="2" borderId="8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165" fontId="6" fillId="0" borderId="34" xfId="22" applyNumberFormat="1" applyFont="1" applyBorder="1" applyAlignment="1" applyProtection="1">
      <alignment horizontal="center" vertical="center" wrapText="1"/>
      <protection/>
    </xf>
    <xf numFmtId="165" fontId="6" fillId="0" borderId="47" xfId="22" applyNumberFormat="1" applyFont="1" applyBorder="1" applyAlignment="1" applyProtection="1">
      <alignment horizontal="center" vertical="center" wrapText="1"/>
      <protection/>
    </xf>
    <xf numFmtId="165" fontId="6" fillId="0" borderId="88" xfId="22" applyNumberFormat="1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194" fontId="5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2" borderId="104" xfId="0" applyFont="1" applyFill="1" applyBorder="1" applyAlignment="1" applyProtection="1">
      <alignment horizontal="center"/>
      <protection locked="0"/>
    </xf>
    <xf numFmtId="0" fontId="6" fillId="2" borderId="105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/>
      <protection/>
    </xf>
    <xf numFmtId="0" fontId="6" fillId="0" borderId="102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1" fontId="6" fillId="2" borderId="36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6" fillId="2" borderId="41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" fontId="6" fillId="2" borderId="74" xfId="0" applyNumberFormat="1" applyFont="1" applyFill="1" applyBorder="1" applyAlignment="1" applyProtection="1">
      <alignment horizontal="center" vertical="center"/>
      <protection locked="0"/>
    </xf>
    <xf numFmtId="1" fontId="6" fillId="2" borderId="51" xfId="0" applyNumberFormat="1" applyFont="1" applyFill="1" applyBorder="1" applyAlignment="1" applyProtection="1">
      <alignment horizontal="center" vertical="center"/>
      <protection locked="0"/>
    </xf>
    <xf numFmtId="1" fontId="6" fillId="2" borderId="47" xfId="0" applyNumberFormat="1" applyFont="1" applyFill="1" applyBorder="1" applyAlignment="1" applyProtection="1">
      <alignment horizontal="center" vertical="center"/>
      <protection locked="0"/>
    </xf>
    <xf numFmtId="195" fontId="6" fillId="2" borderId="26" xfId="0" applyNumberFormat="1" applyFont="1" applyFill="1" applyBorder="1" applyAlignment="1" applyProtection="1">
      <alignment horizontal="center" vertical="center"/>
      <protection locked="0"/>
    </xf>
    <xf numFmtId="195" fontId="6" fillId="2" borderId="40" xfId="0" applyNumberFormat="1" applyFont="1" applyFill="1" applyBorder="1" applyAlignment="1" applyProtection="1">
      <alignment horizontal="center" vertical="center"/>
      <protection locked="0"/>
    </xf>
    <xf numFmtId="195" fontId="6" fillId="2" borderId="27" xfId="0" applyNumberFormat="1" applyFont="1" applyFill="1" applyBorder="1" applyAlignment="1" applyProtection="1">
      <alignment horizontal="center" vertical="center"/>
      <protection locked="0"/>
    </xf>
    <xf numFmtId="195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165" fontId="6" fillId="0" borderId="25" xfId="22" applyNumberFormat="1" applyFont="1" applyBorder="1" applyAlignment="1" applyProtection="1">
      <alignment horizontal="center" vertical="center" wrapText="1"/>
      <protection/>
    </xf>
    <xf numFmtId="1" fontId="6" fillId="2" borderId="26" xfId="0" applyNumberFormat="1" applyFont="1" applyFill="1" applyBorder="1" applyAlignment="1" applyProtection="1">
      <alignment horizontal="center" vertical="center"/>
      <protection locked="0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2" borderId="43" xfId="0" applyNumberFormat="1" applyFont="1" applyFill="1" applyBorder="1" applyAlignment="1" applyProtection="1">
      <alignment horizontal="center" vertical="center"/>
      <protection locked="0"/>
    </xf>
    <xf numFmtId="1" fontId="6" fillId="2" borderId="105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31" xfId="0" applyNumberFormat="1" applyFont="1" applyFill="1" applyBorder="1" applyAlignment="1" applyProtection="1">
      <alignment horizontal="center" vertical="center"/>
      <protection locked="0"/>
    </xf>
    <xf numFmtId="195" fontId="6" fillId="2" borderId="25" xfId="0" applyNumberFormat="1" applyFont="1" applyFill="1" applyBorder="1" applyAlignment="1" applyProtection="1">
      <alignment horizontal="center" vertical="center"/>
      <protection locked="0"/>
    </xf>
    <xf numFmtId="195" fontId="6" fillId="2" borderId="41" xfId="0" applyNumberFormat="1" applyFont="1" applyFill="1" applyBorder="1" applyAlignment="1" applyProtection="1">
      <alignment horizontal="center" vertical="center"/>
      <protection locked="0"/>
    </xf>
    <xf numFmtId="1" fontId="6" fillId="2" borderId="86" xfId="0" applyNumberFormat="1" applyFont="1" applyFill="1" applyBorder="1" applyAlignment="1" applyProtection="1">
      <alignment horizontal="center" vertical="center"/>
      <protection locked="0"/>
    </xf>
    <xf numFmtId="1" fontId="6" fillId="2" borderId="88" xfId="0" applyNumberFormat="1" applyFont="1" applyFill="1" applyBorder="1" applyAlignment="1" applyProtection="1">
      <alignment horizontal="center" vertical="center"/>
      <protection locked="0"/>
    </xf>
    <xf numFmtId="171" fontId="6" fillId="0" borderId="27" xfId="0" applyNumberFormat="1" applyFont="1" applyFill="1" applyBorder="1" applyAlignment="1" applyProtection="1">
      <alignment horizontal="center" vertical="center"/>
      <protection/>
    </xf>
    <xf numFmtId="171" fontId="6" fillId="0" borderId="36" xfId="0" applyNumberFormat="1" applyFont="1" applyFill="1" applyBorder="1" applyAlignment="1" applyProtection="1">
      <alignment horizontal="center" vertical="center"/>
      <protection/>
    </xf>
    <xf numFmtId="169" fontId="6" fillId="0" borderId="27" xfId="0" applyNumberFormat="1" applyFont="1" applyFill="1" applyBorder="1" applyAlignment="1" applyProtection="1">
      <alignment horizontal="center" vertical="center"/>
      <protection/>
    </xf>
    <xf numFmtId="169" fontId="6" fillId="0" borderId="36" xfId="0" applyNumberFormat="1" applyFont="1" applyFill="1" applyBorder="1" applyAlignment="1" applyProtection="1">
      <alignment horizontal="center" vertical="center"/>
      <protection/>
    </xf>
    <xf numFmtId="171" fontId="6" fillId="0" borderId="25" xfId="0" applyNumberFormat="1" applyFont="1" applyFill="1" applyBorder="1" applyAlignment="1" applyProtection="1">
      <alignment horizontal="center" vertical="center"/>
      <protection/>
    </xf>
    <xf numFmtId="171" fontId="6" fillId="0" borderId="41" xfId="0" applyNumberFormat="1" applyFont="1" applyFill="1" applyBorder="1" applyAlignment="1" applyProtection="1">
      <alignment horizontal="center" vertical="center"/>
      <protection/>
    </xf>
    <xf numFmtId="169" fontId="6" fillId="0" borderId="25" xfId="0" applyNumberFormat="1" applyFont="1" applyFill="1" applyBorder="1" applyAlignment="1" applyProtection="1">
      <alignment horizontal="center" vertical="center"/>
      <protection/>
    </xf>
    <xf numFmtId="169" fontId="6" fillId="0" borderId="41" xfId="0" applyNumberFormat="1" applyFont="1" applyFill="1" applyBorder="1" applyAlignment="1" applyProtection="1">
      <alignment horizontal="center" vertical="center"/>
      <protection/>
    </xf>
    <xf numFmtId="169" fontId="6" fillId="0" borderId="26" xfId="0" applyNumberFormat="1" applyFont="1" applyFill="1" applyBorder="1" applyAlignment="1" applyProtection="1">
      <alignment horizontal="center" vertical="center"/>
      <protection/>
    </xf>
    <xf numFmtId="169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171" fontId="6" fillId="0" borderId="26" xfId="0" applyNumberFormat="1" applyFont="1" applyFill="1" applyBorder="1" applyAlignment="1" applyProtection="1">
      <alignment horizontal="center" vertical="center"/>
      <protection/>
    </xf>
    <xf numFmtId="171" fontId="6" fillId="0" borderId="40" xfId="0" applyNumberFormat="1" applyFont="1" applyFill="1" applyBorder="1" applyAlignment="1" applyProtection="1">
      <alignment horizontal="center" vertical="center"/>
      <protection/>
    </xf>
    <xf numFmtId="194" fontId="6" fillId="2" borderId="71" xfId="0" applyNumberFormat="1" applyFont="1" applyFill="1" applyBorder="1" applyAlignment="1" applyProtection="1">
      <alignment horizontal="center" vertical="center"/>
      <protection locked="0"/>
    </xf>
    <xf numFmtId="194" fontId="6" fillId="2" borderId="19" xfId="0" applyNumberFormat="1" applyFont="1" applyFill="1" applyBorder="1" applyAlignment="1" applyProtection="1">
      <alignment horizontal="center" vertical="center"/>
      <protection locked="0"/>
    </xf>
    <xf numFmtId="19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/>
      <protection/>
    </xf>
    <xf numFmtId="165" fontId="7" fillId="0" borderId="0" xfId="22" applyNumberFormat="1" applyFont="1" applyAlignment="1" applyProtection="1">
      <alignment horizontal="center"/>
      <protection/>
    </xf>
    <xf numFmtId="0" fontId="24" fillId="0" borderId="84" xfId="15" applyFont="1" applyBorder="1" applyAlignment="1" applyProtection="1">
      <alignment horizontal="center" vertical="center"/>
      <protection/>
    </xf>
    <xf numFmtId="0" fontId="24" fillId="0" borderId="85" xfId="15" applyFont="1" applyBorder="1" applyAlignment="1" applyProtection="1">
      <alignment horizontal="center" vertical="center"/>
      <protection/>
    </xf>
    <xf numFmtId="0" fontId="24" fillId="0" borderId="82" xfId="15" applyFont="1" applyBorder="1" applyAlignment="1" applyProtection="1">
      <alignment horizontal="center" vertical="center"/>
      <protection/>
    </xf>
    <xf numFmtId="169" fontId="6" fillId="0" borderId="30" xfId="22" applyNumberFormat="1" applyFont="1" applyBorder="1" applyAlignment="1" applyProtection="1">
      <alignment horizontal="center" vertical="center" wrapText="1"/>
      <protection/>
    </xf>
    <xf numFmtId="169" fontId="6" fillId="0" borderId="70" xfId="22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center" wrapText="1" shrinkToFit="1"/>
      <protection/>
    </xf>
    <xf numFmtId="0" fontId="6" fillId="0" borderId="107" xfId="0" applyFont="1" applyBorder="1" applyAlignment="1" applyProtection="1">
      <alignment horizontal="left" vertical="center" wrapText="1" shrinkToFit="1"/>
      <protection/>
    </xf>
    <xf numFmtId="0" fontId="6" fillId="2" borderId="67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104" xfId="0" applyFont="1" applyBorder="1" applyAlignment="1" applyProtection="1">
      <alignment horizontal="left" vertical="center" wrapText="1" shrinkToFit="1"/>
      <protection/>
    </xf>
    <xf numFmtId="0" fontId="6" fillId="0" borderId="105" xfId="0" applyFont="1" applyBorder="1" applyAlignment="1" applyProtection="1">
      <alignment horizontal="left" vertical="center" wrapText="1" shrinkToFit="1"/>
      <protection/>
    </xf>
    <xf numFmtId="0" fontId="17" fillId="0" borderId="0" xfId="0" applyFont="1" applyBorder="1" applyAlignment="1" applyProtection="1">
      <alignment horizontal="left" vertical="center" wrapText="1" shrinkToFit="1"/>
      <protection/>
    </xf>
    <xf numFmtId="0" fontId="6" fillId="2" borderId="68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 wrapText="1" shrinkToFit="1"/>
      <protection/>
    </xf>
    <xf numFmtId="0" fontId="6" fillId="0" borderId="88" xfId="0" applyFont="1" applyBorder="1" applyAlignment="1" applyProtection="1">
      <alignment horizontal="left" vertical="center" wrapText="1" shrinkToFit="1"/>
      <protection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7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 vertical="center" wrapText="1" shrinkToFit="1"/>
    </xf>
    <xf numFmtId="0" fontId="6" fillId="0" borderId="3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Оглавле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117</xdr:row>
      <xdr:rowOff>0</xdr:rowOff>
    </xdr:from>
    <xdr:to>
      <xdr:col>10</xdr:col>
      <xdr:colOff>9525</xdr:colOff>
      <xdr:row>168</xdr:row>
      <xdr:rowOff>142875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6105525" cy="840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104775</xdr:rowOff>
    </xdr:from>
    <xdr:to>
      <xdr:col>10</xdr:col>
      <xdr:colOff>47625</xdr:colOff>
      <xdr:row>187</xdr:row>
      <xdr:rowOff>9525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65325"/>
          <a:ext cx="61436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38100</xdr:rowOff>
    </xdr:from>
    <xdr:to>
      <xdr:col>10</xdr:col>
      <xdr:colOff>0</xdr:colOff>
      <xdr:row>111</xdr:row>
      <xdr:rowOff>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48825"/>
          <a:ext cx="6096000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10</xdr:col>
      <xdr:colOff>0</xdr:colOff>
      <xdr:row>57</xdr:row>
      <xdr:rowOff>76200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42925"/>
          <a:ext cx="6096000" cy="882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era.vtsnet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9" width="9.140625" style="294" customWidth="1"/>
    <col min="10" max="10" width="1.7109375" style="0" customWidth="1"/>
    <col min="12" max="12" width="1.421875" style="0" customWidth="1"/>
    <col min="18" max="18" width="8.57421875" style="0" customWidth="1"/>
    <col min="19" max="19" width="2.140625" style="0" customWidth="1"/>
  </cols>
  <sheetData>
    <row r="1" ht="13.5" thickBot="1"/>
    <row r="2" spans="2:19" ht="25.5" customHeight="1" thickTop="1">
      <c r="B2" s="295"/>
      <c r="C2" s="472" t="s">
        <v>188</v>
      </c>
      <c r="D2" s="472"/>
      <c r="E2" s="472"/>
      <c r="F2" s="472"/>
      <c r="G2" s="472"/>
      <c r="H2" s="472"/>
      <c r="I2" s="472"/>
      <c r="J2" s="296"/>
      <c r="L2" s="429"/>
      <c r="M2" s="430"/>
      <c r="N2" s="430"/>
      <c r="O2" s="430"/>
      <c r="P2" s="430"/>
      <c r="Q2" s="430"/>
      <c r="R2" s="430"/>
      <c r="S2" s="431"/>
    </row>
    <row r="3" spans="2:19" ht="15.75">
      <c r="B3" s="297"/>
      <c r="C3" s="473"/>
      <c r="D3" s="473"/>
      <c r="E3" s="473"/>
      <c r="F3" s="473"/>
      <c r="G3" s="473"/>
      <c r="H3" s="473"/>
      <c r="I3" s="473"/>
      <c r="J3" s="298"/>
      <c r="L3" s="432"/>
      <c r="M3" s="592" t="s">
        <v>213</v>
      </c>
      <c r="N3" s="592"/>
      <c r="O3" s="592"/>
      <c r="P3" s="592"/>
      <c r="Q3" s="592"/>
      <c r="R3" s="592"/>
      <c r="S3" s="433"/>
    </row>
    <row r="4" spans="2:19" s="299" customFormat="1" ht="18">
      <c r="B4" s="300"/>
      <c r="C4" s="598" t="s">
        <v>215</v>
      </c>
      <c r="D4" s="598"/>
      <c r="E4" s="598"/>
      <c r="F4" s="598"/>
      <c r="G4" s="598"/>
      <c r="H4" s="598"/>
      <c r="I4" s="598"/>
      <c r="J4" s="302"/>
      <c r="L4" s="434"/>
      <c r="M4" s="592"/>
      <c r="N4" s="592"/>
      <c r="O4" s="592"/>
      <c r="P4" s="592"/>
      <c r="Q4" s="592"/>
      <c r="R4" s="592"/>
      <c r="S4" s="435"/>
    </row>
    <row r="5" spans="2:19" s="299" customFormat="1" ht="18">
      <c r="B5" s="300"/>
      <c r="C5" s="598" t="s">
        <v>261</v>
      </c>
      <c r="D5" s="598"/>
      <c r="E5" s="598"/>
      <c r="F5" s="598"/>
      <c r="G5" s="598"/>
      <c r="H5" s="598"/>
      <c r="I5" s="598"/>
      <c r="J5" s="302"/>
      <c r="L5" s="434"/>
      <c r="M5" s="592"/>
      <c r="N5" s="592"/>
      <c r="O5" s="592"/>
      <c r="P5" s="592"/>
      <c r="Q5" s="592"/>
      <c r="R5" s="592"/>
      <c r="S5" s="435"/>
    </row>
    <row r="6" spans="2:19" s="299" customFormat="1" ht="18">
      <c r="B6" s="300"/>
      <c r="C6" s="598" t="s">
        <v>289</v>
      </c>
      <c r="D6" s="598"/>
      <c r="E6" s="598"/>
      <c r="F6" s="598"/>
      <c r="G6" s="598"/>
      <c r="H6" s="598"/>
      <c r="I6" s="598"/>
      <c r="J6" s="302"/>
      <c r="L6" s="434"/>
      <c r="M6" s="592"/>
      <c r="N6" s="592"/>
      <c r="O6" s="592"/>
      <c r="P6" s="592"/>
      <c r="Q6" s="592"/>
      <c r="R6" s="592"/>
      <c r="S6" s="435"/>
    </row>
    <row r="7" spans="2:19" s="299" customFormat="1" ht="18">
      <c r="B7" s="300"/>
      <c r="C7" s="598" t="s">
        <v>191</v>
      </c>
      <c r="D7" s="598"/>
      <c r="E7" s="598"/>
      <c r="F7" s="598"/>
      <c r="G7" s="598"/>
      <c r="H7" s="598"/>
      <c r="I7" s="598"/>
      <c r="J7" s="302"/>
      <c r="L7" s="434"/>
      <c r="M7" s="593" t="s">
        <v>214</v>
      </c>
      <c r="N7" s="593"/>
      <c r="O7" s="593"/>
      <c r="P7" s="593"/>
      <c r="Q7" s="593"/>
      <c r="R7" s="593"/>
      <c r="S7" s="435"/>
    </row>
    <row r="8" spans="2:19" s="299" customFormat="1" ht="18.75" thickBot="1">
      <c r="B8" s="300"/>
      <c r="C8" s="599" t="s">
        <v>192</v>
      </c>
      <c r="D8" s="599"/>
      <c r="E8" s="599"/>
      <c r="F8" s="599"/>
      <c r="G8" s="599"/>
      <c r="H8" s="599"/>
      <c r="I8" s="599"/>
      <c r="J8" s="302"/>
      <c r="L8" s="436"/>
      <c r="M8" s="437"/>
      <c r="N8" s="437"/>
      <c r="O8" s="437"/>
      <c r="P8" s="437"/>
      <c r="Q8" s="437"/>
      <c r="R8" s="437"/>
      <c r="S8" s="438"/>
    </row>
    <row r="9" spans="2:10" s="299" customFormat="1" ht="18.75" thickTop="1">
      <c r="B9" s="300"/>
      <c r="C9" s="599" t="s">
        <v>93</v>
      </c>
      <c r="D9" s="599"/>
      <c r="E9" s="599"/>
      <c r="F9" s="599"/>
      <c r="G9" s="599"/>
      <c r="H9" s="599"/>
      <c r="I9" s="599"/>
      <c r="J9" s="302"/>
    </row>
    <row r="10" spans="2:10" s="299" customFormat="1" ht="18">
      <c r="B10" s="300"/>
      <c r="C10" s="598" t="s">
        <v>34</v>
      </c>
      <c r="D10" s="598"/>
      <c r="E10" s="598"/>
      <c r="F10" s="598"/>
      <c r="G10" s="598"/>
      <c r="H10" s="598"/>
      <c r="I10" s="598"/>
      <c r="J10" s="302"/>
    </row>
    <row r="11" spans="2:10" s="299" customFormat="1" ht="18">
      <c r="B11" s="300"/>
      <c r="C11" s="599" t="s">
        <v>60</v>
      </c>
      <c r="D11" s="599"/>
      <c r="E11" s="599"/>
      <c r="F11" s="599"/>
      <c r="G11" s="599"/>
      <c r="H11" s="599"/>
      <c r="I11" s="599"/>
      <c r="J11" s="302"/>
    </row>
    <row r="12" spans="2:10" s="299" customFormat="1" ht="18">
      <c r="B12" s="300"/>
      <c r="C12" s="599" t="s">
        <v>128</v>
      </c>
      <c r="D12" s="599"/>
      <c r="E12" s="599"/>
      <c r="F12" s="599"/>
      <c r="G12" s="599"/>
      <c r="H12" s="599"/>
      <c r="I12" s="599"/>
      <c r="J12" s="302"/>
    </row>
    <row r="13" spans="2:10" s="299" customFormat="1" ht="6.75" customHeight="1" thickBot="1">
      <c r="B13" s="300"/>
      <c r="C13" s="301"/>
      <c r="D13" s="301"/>
      <c r="E13" s="301"/>
      <c r="F13" s="301"/>
      <c r="G13" s="301"/>
      <c r="H13" s="301"/>
      <c r="I13" s="301"/>
      <c r="J13" s="302"/>
    </row>
    <row r="14" spans="2:10" s="339" customFormat="1" ht="22.5" customHeight="1" thickBot="1">
      <c r="B14" s="337"/>
      <c r="C14" s="603" t="s">
        <v>193</v>
      </c>
      <c r="D14" s="604"/>
      <c r="E14" s="604"/>
      <c r="F14" s="604"/>
      <c r="G14" s="604"/>
      <c r="H14" s="604"/>
      <c r="I14" s="502"/>
      <c r="J14" s="338"/>
    </row>
    <row r="15" spans="2:10" s="339" customFormat="1" ht="6.75" customHeight="1">
      <c r="B15" s="337"/>
      <c r="C15" s="428"/>
      <c r="D15" s="428"/>
      <c r="E15" s="428"/>
      <c r="F15" s="428"/>
      <c r="G15" s="428"/>
      <c r="H15" s="428"/>
      <c r="I15" s="428"/>
      <c r="J15" s="338"/>
    </row>
    <row r="16" spans="2:10" s="299" customFormat="1" ht="18">
      <c r="B16" s="300"/>
      <c r="C16" s="598" t="s">
        <v>197</v>
      </c>
      <c r="D16" s="598"/>
      <c r="E16" s="598"/>
      <c r="F16" s="598"/>
      <c r="G16" s="598"/>
      <c r="H16" s="598"/>
      <c r="I16" s="598"/>
      <c r="J16" s="302"/>
    </row>
    <row r="17" spans="2:10" s="299" customFormat="1" ht="18">
      <c r="B17" s="300"/>
      <c r="C17" s="598" t="s">
        <v>199</v>
      </c>
      <c r="D17" s="598"/>
      <c r="E17" s="598"/>
      <c r="F17" s="598"/>
      <c r="G17" s="598"/>
      <c r="H17" s="598"/>
      <c r="I17" s="598"/>
      <c r="J17" s="302"/>
    </row>
    <row r="18" spans="2:10" s="299" customFormat="1" ht="18">
      <c r="B18" s="300"/>
      <c r="C18" s="599" t="s">
        <v>181</v>
      </c>
      <c r="D18" s="599"/>
      <c r="E18" s="599"/>
      <c r="F18" s="599"/>
      <c r="G18" s="599"/>
      <c r="H18" s="599"/>
      <c r="I18" s="599"/>
      <c r="J18" s="302"/>
    </row>
    <row r="19" spans="2:10" s="299" customFormat="1" ht="6" customHeight="1" thickBot="1">
      <c r="B19" s="300"/>
      <c r="C19" s="301"/>
      <c r="D19" s="301"/>
      <c r="E19" s="301"/>
      <c r="F19" s="301"/>
      <c r="G19" s="301"/>
      <c r="H19" s="301"/>
      <c r="I19" s="301"/>
      <c r="J19" s="302"/>
    </row>
    <row r="20" spans="2:10" s="339" customFormat="1" ht="24" customHeight="1" thickBot="1">
      <c r="B20" s="337"/>
      <c r="C20" s="600" t="s">
        <v>194</v>
      </c>
      <c r="D20" s="601"/>
      <c r="E20" s="601"/>
      <c r="F20" s="601"/>
      <c r="G20" s="601"/>
      <c r="H20" s="601"/>
      <c r="I20" s="602"/>
      <c r="J20" s="338"/>
    </row>
    <row r="21" spans="2:10" s="299" customFormat="1" ht="7.5" customHeight="1" thickBot="1">
      <c r="B21" s="300"/>
      <c r="C21" s="301"/>
      <c r="D21" s="301"/>
      <c r="E21" s="301"/>
      <c r="F21" s="301"/>
      <c r="G21" s="301"/>
      <c r="H21" s="301"/>
      <c r="I21" s="301"/>
      <c r="J21" s="302"/>
    </row>
    <row r="22" spans="2:10" s="299" customFormat="1" ht="24" customHeight="1" thickBot="1" thickTop="1">
      <c r="B22" s="300"/>
      <c r="C22" s="594" t="s">
        <v>162</v>
      </c>
      <c r="D22" s="595"/>
      <c r="E22" s="595"/>
      <c r="F22" s="595"/>
      <c r="G22" s="595"/>
      <c r="H22" s="595"/>
      <c r="I22" s="596"/>
      <c r="J22" s="302"/>
    </row>
    <row r="23" spans="2:10" s="299" customFormat="1" ht="18.75" thickTop="1">
      <c r="B23" s="300"/>
      <c r="C23" s="303"/>
      <c r="D23" s="303"/>
      <c r="E23" s="303"/>
      <c r="F23" s="303"/>
      <c r="G23" s="303"/>
      <c r="H23" s="303"/>
      <c r="I23" s="303"/>
      <c r="J23" s="302"/>
    </row>
    <row r="24" spans="2:10" ht="33" customHeight="1">
      <c r="B24" s="297"/>
      <c r="C24" s="597" t="s">
        <v>189</v>
      </c>
      <c r="D24" s="597"/>
      <c r="E24" s="597"/>
      <c r="F24" s="597"/>
      <c r="G24" s="597"/>
      <c r="H24" s="597"/>
      <c r="I24" s="597"/>
      <c r="J24" s="298"/>
    </row>
    <row r="25" spans="2:10" ht="13.5" thickBot="1">
      <c r="B25" s="304"/>
      <c r="C25" s="305"/>
      <c r="D25" s="305"/>
      <c r="E25" s="305"/>
      <c r="F25" s="305"/>
      <c r="G25" s="305"/>
      <c r="H25" s="305"/>
      <c r="I25" s="305"/>
      <c r="J25" s="306"/>
    </row>
    <row r="26" ht="13.5" thickTop="1"/>
  </sheetData>
  <mergeCells count="20">
    <mergeCell ref="C2:I2"/>
    <mergeCell ref="C3:I3"/>
    <mergeCell ref="C4:I4"/>
    <mergeCell ref="C5:I5"/>
    <mergeCell ref="C12:I12"/>
    <mergeCell ref="C14:I14"/>
    <mergeCell ref="C6:I6"/>
    <mergeCell ref="C7:I7"/>
    <mergeCell ref="C8:I8"/>
    <mergeCell ref="C9:I9"/>
    <mergeCell ref="M3:R6"/>
    <mergeCell ref="M7:R7"/>
    <mergeCell ref="C22:I22"/>
    <mergeCell ref="C24:I24"/>
    <mergeCell ref="C16:I16"/>
    <mergeCell ref="C17:I17"/>
    <mergeCell ref="C18:I18"/>
    <mergeCell ref="C20:I20"/>
    <mergeCell ref="C10:I10"/>
    <mergeCell ref="C11:I11"/>
  </mergeCells>
  <hyperlinks>
    <hyperlink ref="C4" location="'Описание работы с таблицами'!A1" display="Описание работы стаблицами"/>
    <hyperlink ref="C5" location="'Опросный лист'!A1" display="Опросный лист"/>
    <hyperlink ref="C6" location="'Исходные данные'!A1" display="Исходные данные"/>
    <hyperlink ref="C7" location="'Расчетный темп. график'!A1" display="Расчетный температурный график"/>
    <hyperlink ref="C8" location="'Фактический темп. график'!A1" display="Фактический температурный график"/>
    <hyperlink ref="C9" location="'Тепловая изоляция'!A1" display="Тепловая изоляция"/>
    <hyperlink ref="C10" location="'Подземная бескан. прокладка'!A1" display="Подземная бесканальная прокладка"/>
    <hyperlink ref="C11" location="'Подземная прокл. в непрох. кан.'!A1" display="Подземная прокладка в непроходных каналах"/>
    <hyperlink ref="C12" location="'Надземная прокл. на откр. возд.'!A1" display="Надземная прокладка на открытом воздухе"/>
    <hyperlink ref="C14" location="'Надземная внутри помещ.'!A1" display="Надземная прокладка внутри помещений"/>
    <hyperlink ref="C16" location="'Нормы плотности теплов. потока'!A1" display="Нормы плотности теплового потока"/>
    <hyperlink ref="C17" location="'Норма утечки'!A1" display="Норма утечки"/>
    <hyperlink ref="C18" location="'Потери тепла с утечкой'!A1" display="Потери тепла с утечкой"/>
    <hyperlink ref="C20" location="'Потери тепла через изол. повер.'!A1" display="Потери тепла через изолированную поверхность"/>
    <hyperlink ref="C22" location="'Суммарные потери тепл. энергии'!A1" display="Суммарные потери тепловой энергии"/>
    <hyperlink ref="C65521" r:id="rId1" display="http://www.sfera.vtsnet.ru/"/>
    <hyperlink ref="C7:I7" location="'Расход тепла на хоз. нужды'!A1" display="Расход тепла на хозяйственные нужды"/>
    <hyperlink ref="C8:I8" location="'Расход тепла на растопку'!A1" display="Расход тепла на растопку"/>
    <hyperlink ref="C9:I9" location="'Расход тепла на паровые котлы'!A1" display="Расход тепла на паровые котлы"/>
    <hyperlink ref="C10:I10" location="'Расход тепла на тех. нужды'!A1" display="Расход тепла на технологические нужды"/>
    <hyperlink ref="C11:I11" location="'Расход тепла для нужд маз. хоз.'!A1" display="Расход тепла для нужд мазутного хозяйства"/>
    <hyperlink ref="C12:I12" location="'Прочие расходы тепла'!A1" display="Прочие расходы тепла"/>
    <hyperlink ref="C14:I14" location="'Сумм. расход тепла в котельной'!A1" display="Суммарный расход тепла в котельной"/>
    <hyperlink ref="C16:I16" location="'Полезный отпуск тепла'!A1" display="Полезный отпуск тепла"/>
    <hyperlink ref="C17:I17" location="'Выработка и отпуск тепла'!A1" display="Выработка и отпуск тепла"/>
    <hyperlink ref="C18:I18" location="'КПД котлов'!A1" display="КПД котлов"/>
    <hyperlink ref="C20:I20" location="'Расчет расхода топлива'!A1" display="Расчет расхода топлива"/>
    <hyperlink ref="C22:I22" location="'Общие характеристики котельной'!A1" display="Общие характеристики котельной"/>
    <hyperlink ref="C4:I4" location="'Описание работы с таблицами'!A1" display="Описание работы с таблицами"/>
    <hyperlink ref="C5:I5" location="'Основные показатели'!A1" display="Основные показатели"/>
    <hyperlink ref="C6:I6" location="'Параметры теплоносителя'!A1" display="Параметры теплоносителя"/>
  </hyperlinks>
  <printOptions/>
  <pageMargins left="1.03" right="0.46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1"/>
  <sheetViews>
    <sheetView showGridLines="0" zoomScale="70" zoomScaleNormal="70" workbookViewId="0" topLeftCell="A1">
      <selection activeCell="A2" sqref="A2:C2"/>
    </sheetView>
  </sheetViews>
  <sheetFormatPr defaultColWidth="9.140625" defaultRowHeight="12.75"/>
  <cols>
    <col min="1" max="1" width="6.00390625" style="73" customWidth="1"/>
    <col min="2" max="2" width="17.57421875" style="73" customWidth="1"/>
    <col min="3" max="3" width="7.57421875" style="73" customWidth="1"/>
    <col min="4" max="4" width="8.140625" style="73" customWidth="1"/>
    <col min="5" max="5" width="9.7109375" style="73" customWidth="1"/>
    <col min="6" max="6" width="10.28125" style="73" customWidth="1"/>
    <col min="7" max="7" width="10.57421875" style="73" customWidth="1"/>
    <col min="8" max="8" width="14.421875" style="73" customWidth="1"/>
    <col min="9" max="20" width="10.7109375" style="73" customWidth="1"/>
    <col min="21" max="21" width="14.00390625" style="73" customWidth="1"/>
    <col min="22" max="16384" width="9.140625" style="73" customWidth="1"/>
  </cols>
  <sheetData>
    <row r="1" ht="8.25" customHeight="1" thickBot="1"/>
    <row r="2" spans="1:3" ht="27" customHeight="1" thickBot="1" thickTop="1">
      <c r="A2" s="474" t="s">
        <v>190</v>
      </c>
      <c r="B2" s="457"/>
      <c r="C2" s="458"/>
    </row>
    <row r="3" ht="13.5" thickTop="1"/>
    <row r="4" spans="1:24" ht="18.75">
      <c r="A4" s="620" t="s">
        <v>128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6"/>
      <c r="W4" s="66"/>
      <c r="X4" s="66"/>
    </row>
    <row r="6" spans="1:24" ht="15.75">
      <c r="A6" s="652" t="s">
        <v>112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8"/>
      <c r="W6" s="68"/>
      <c r="X6" s="68"/>
    </row>
    <row r="7" ht="13.5" thickBot="1"/>
    <row r="8" spans="1:21" ht="64.5">
      <c r="A8" s="653" t="s">
        <v>13</v>
      </c>
      <c r="B8" s="655" t="s">
        <v>113</v>
      </c>
      <c r="C8" s="51" t="s">
        <v>115</v>
      </c>
      <c r="D8" s="51" t="s">
        <v>116</v>
      </c>
      <c r="E8" s="51" t="s">
        <v>121</v>
      </c>
      <c r="F8" s="51" t="s">
        <v>123</v>
      </c>
      <c r="G8" s="51" t="s">
        <v>117</v>
      </c>
      <c r="H8" s="57" t="s">
        <v>70</v>
      </c>
      <c r="I8" s="55" t="s">
        <v>0</v>
      </c>
      <c r="J8" s="55" t="s">
        <v>1</v>
      </c>
      <c r="K8" s="55" t="s">
        <v>2</v>
      </c>
      <c r="L8" s="55" t="s">
        <v>3</v>
      </c>
      <c r="M8" s="55" t="s">
        <v>4</v>
      </c>
      <c r="N8" s="55" t="s">
        <v>5</v>
      </c>
      <c r="O8" s="55" t="s">
        <v>6</v>
      </c>
      <c r="P8" s="55" t="s">
        <v>7</v>
      </c>
      <c r="Q8" s="55" t="s">
        <v>8</v>
      </c>
      <c r="R8" s="55" t="s">
        <v>9</v>
      </c>
      <c r="S8" s="55" t="s">
        <v>10</v>
      </c>
      <c r="T8" s="56" t="s">
        <v>11</v>
      </c>
      <c r="U8" s="57" t="s">
        <v>16</v>
      </c>
    </row>
    <row r="9" spans="1:21" ht="39.75" customHeight="1" thickBot="1">
      <c r="A9" s="654"/>
      <c r="B9" s="656"/>
      <c r="C9" s="74" t="s">
        <v>118</v>
      </c>
      <c r="D9" s="74" t="s">
        <v>14</v>
      </c>
      <c r="E9" s="74" t="s">
        <v>122</v>
      </c>
      <c r="F9" s="74" t="s">
        <v>14</v>
      </c>
      <c r="G9" s="74" t="s">
        <v>20</v>
      </c>
      <c r="H9" s="60" t="s">
        <v>15</v>
      </c>
      <c r="I9" s="693" t="s">
        <v>22</v>
      </c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9"/>
      <c r="U9" s="60" t="s">
        <v>15</v>
      </c>
    </row>
    <row r="10" spans="1:21" ht="12.75">
      <c r="A10" s="100">
        <v>1</v>
      </c>
      <c r="B10" s="216" t="s">
        <v>114</v>
      </c>
      <c r="C10" s="145">
        <v>120</v>
      </c>
      <c r="D10" s="145">
        <v>65</v>
      </c>
      <c r="E10" s="145">
        <v>1</v>
      </c>
      <c r="F10" s="145">
        <v>20</v>
      </c>
      <c r="G10" s="145">
        <v>24</v>
      </c>
      <c r="H10" s="219" t="e">
        <f>U10</f>
        <v>#REF!</v>
      </c>
      <c r="I10" s="141" t="e">
        <f>IF($E10=1,(-0.0016*$D10^2+0.5985*$D10+0.3642)*$C10*(($D10-'Параметры теплоносителя'!#REF!)/($D10-5))*$G10*31*10^(-6),(-0.0005*$D10^2+0.4042*$D10+3.44)*$C10*(($D10-$F10)/($D10-20))*$G10*31*10^(-6))</f>
        <v>#REF!</v>
      </c>
      <c r="J10" s="127" t="e">
        <f>IF($E10=1,(-0.0016*$D10^2+0.5985*$D10+0.3642)*$C10*(($D10-'Параметры теплоносителя'!#REF!)/($D10-5))*$G10*28*10^(-6),(-0.0005*$D10^2+0.4042*$D10+3.44)*$C10*(($D10-$F10)/($D10-20))*$G10*28*10^(-6))</f>
        <v>#REF!</v>
      </c>
      <c r="K10" s="127">
        <f>IF($E10=1,(-0.0016*$D10^2+0.5985*$D10+0.3642)*$C10*(($D10-'Параметры теплоносителя'!$C$10)/($D10-5))*$G10*31*10^(-6),(-0.0005*$D10^2+0.4042*$D10+3.44)*$C10*(($D10-$F10)/($D10-20))*$G10*31*10^(-6))</f>
        <v>3.144048024</v>
      </c>
      <c r="L10" s="127">
        <f>IF($E10=1,(-0.0016*$D10^2+0.5985*$D10+0.3642)*$C10*(($D10-'Параметры теплоносителя'!$C$11)/($D10-5))*$G10*30*10^(-6),(-0.0005*$D10^2+0.4042*$D10+3.44)*$C10*(($D10-$F10)/($D10-20))*$G10*30*10^(-6))</f>
        <v>3.04262712</v>
      </c>
      <c r="M10" s="127">
        <f>IF($E10=1,(-0.0016*$D10^2+0.5985*$D10+0.3642)*$C10*(($D10-'Параметры теплоносителя'!$C$12)/($D10-5))*$G10*31*10^(-6),(-0.0005*$D10^2+0.4042*$D10+3.44)*$C10*(($D10-$F10)/($D10-20))*$G10*31*10^(-6))</f>
        <v>3.144048024</v>
      </c>
      <c r="N10" s="127" t="e">
        <f>IF($E10=1,(-0.0016*$D10^2+0.5985*$D10+0.3642)*$C10*(($D10-'Параметры теплоносителя'!$C$13)/($D10-5))*$G10*30*10^(-6),(-0.0005*$D10^2+0.4042*$D10+3.44)*$C10*(($D10-$F10)/($D10-20))*$G10*30*10^(-6))</f>
        <v>#VALUE!</v>
      </c>
      <c r="O10" s="127">
        <f>IF($E10=1,(-0.0016*$D10^2+0.5985*$D10+0.3642)*$C10*(($D10-'Параметры теплоносителя'!$C$14)/($D10-5))*$G10*31*10^(-6),(-0.0005*$D10^2+0.4042*$D10+3.44)*$C10*(($D10-$F10)/($D10-20))*$G10*31*10^(-6))</f>
        <v>2.9989381152000005</v>
      </c>
      <c r="P10" s="127">
        <f>IF($E10=1,(-0.0016*$D10^2+0.5985*$D10+0.3642)*$C10*(($D10-'Параметры теплоносителя'!$C$15)/($D10-5))*$G10*31*10^(-6),(-0.0005*$D10^2+0.4042*$D10+3.44)*$C10*(($D10-$F10)/($D10-20))*$G10*31*10^(-6))</f>
        <v>3.144048024</v>
      </c>
      <c r="Q10" s="127">
        <f>IF($E10=1,(-0.0016*$D10^2+0.5985*$D10+0.3642)*$C10*(($D10-'Параметры теплоносителя'!$C$16)/($D10-5))*$G10*30*10^(-6),(-0.0005*$D10^2+0.4042*$D10+3.44)*$C10*(($D10-$F10)/($D10-20))*$G10*30*10^(-6))</f>
        <v>3.04262712</v>
      </c>
      <c r="R10" s="127">
        <f>IF($E10=1,(-0.0016*$D10^2+0.5985*$D10+0.3642)*$C10*(($D10-'Параметры теплоносителя'!$C$17)/($D10-5))*$G10*31*10^(-6),(-0.0005*$D10^2+0.4042*$D10+3.44)*$C10*(($D10-$F10)/($D10-20))*$G10*31*10^(-6))</f>
        <v>3.144048024</v>
      </c>
      <c r="S10" s="127">
        <f>IF($E10=1,(-0.0016*$D10^2+0.5985*$D10+0.3642)*$C10*(($D10-'Параметры теплоносителя'!$C$18)/($D10-5))*$G10*30*10^(-6),(-0.0005*$D10^2+0.4042*$D10+3.44)*$C10*(($D10-$F10)/($D10-20))*$G10*30*10^(-6))</f>
        <v>3.04262712</v>
      </c>
      <c r="T10" s="128">
        <f>IF($E10=1,(-0.0016*$D10^2+0.5985*$D10+0.3642)*$C10*(($D10-'Параметры теплоносителя'!$C$19)/($D10-5))*$G10*31*10^(-6),(-0.0005*$D10^2+0.4042*$D10+3.44)*$C10*(($D10-$F10)/($D10-20))*$G10*31*10^(-6))</f>
        <v>3.144048024</v>
      </c>
      <c r="U10" s="129" t="e">
        <f>SUM(I10:T10)</f>
        <v>#REF!</v>
      </c>
    </row>
    <row r="11" spans="1:21" ht="12.75">
      <c r="A11" s="61">
        <f>A10+1</f>
        <v>2</v>
      </c>
      <c r="B11" s="217"/>
      <c r="C11" s="150"/>
      <c r="D11" s="150"/>
      <c r="E11" s="150"/>
      <c r="F11" s="150"/>
      <c r="G11" s="153"/>
      <c r="H11" s="142">
        <f>U11</f>
        <v>0</v>
      </c>
      <c r="I11" s="141">
        <f>IF($E11=1,(-0.0016*$D11^2+0.5985*$D11+0.3642)*$C11*(($D11-'Параметры теплоносителя'!#REF!)/($D11-5))*$G11*31*10^(-6),(-0.0005*$D11^2+0.4042*$D11+3.44)*$C11*(($D11-$F11)/($D11-20))*$G11*31*10^(-6))</f>
        <v>0</v>
      </c>
      <c r="J11" s="127">
        <f>IF($E11=1,(-0.0016*$D11^2+0.5985*$D11+0.3642)*$C11*(($D11-'Параметры теплоносителя'!#REF!)/($D11-5))*$G11*28*10^(-6),(-0.0005*$D11^2+0.4042*$D11+3.44)*$C11*(($D11-$F11)/($D11-20))*$G11*28*10^(-6))</f>
        <v>0</v>
      </c>
      <c r="K11" s="127">
        <f>IF($E11=1,(-0.0016*$D11^2+0.5985*$D11+0.3642)*$C11*(($D11-'Параметры теплоносителя'!$C$10)/($D11-5))*$G11*31*10^(-6),(-0.0005*$D11^2+0.4042*$D11+3.44)*$C11*(($D11-$F11)/($D11-20))*$G11*31*10^(-6))</f>
        <v>0</v>
      </c>
      <c r="L11" s="127">
        <f>IF($E11=1,(-0.0016*$D11^2+0.5985*$D11+0.3642)*$C11*(($D11-'Параметры теплоносителя'!$C$11)/($D11-5))*$G11*30*10^(-6),(-0.0005*$D11^2+0.4042*$D11+3.44)*$C11*(($D11-$F11)/($D11-20))*$G11*30*10^(-6))</f>
        <v>0</v>
      </c>
      <c r="M11" s="127">
        <f>IF($E11=1,(-0.0016*$D11^2+0.5985*$D11+0.3642)*$C11*(($D11-'Параметры теплоносителя'!$C$12)/($D11-5))*$G11*31*10^(-6),(-0.0005*$D11^2+0.4042*$D11+3.44)*$C11*(($D11-$F11)/($D11-20))*$G11*31*10^(-6))</f>
        <v>0</v>
      </c>
      <c r="N11" s="127">
        <f>IF($E11=1,(-0.0016*$D11^2+0.5985*$D11+0.3642)*$C11*(($D11-'Параметры теплоносителя'!$C$13)/($D11-5))*$G11*30*10^(-6),(-0.0005*$D11^2+0.4042*$D11+3.44)*$C11*(($D11-$F11)/($D11-20))*$G11*30*10^(-6))</f>
        <v>0</v>
      </c>
      <c r="O11" s="127">
        <f>IF($E11=1,(-0.0016*$D11^2+0.5985*$D11+0.3642)*$C11*(($D11-'Параметры теплоносителя'!$C$14)/($D11-5))*$G11*31*10^(-6),(-0.0005*$D11^2+0.4042*$D11+3.44)*$C11*(($D11-$F11)/($D11-20))*$G11*31*10^(-6))</f>
        <v>0</v>
      </c>
      <c r="P11" s="127">
        <f>IF($E11=1,(-0.0016*$D11^2+0.5985*$D11+0.3642)*$C11*(($D11-'Параметры теплоносителя'!$C$15)/($D11-5))*$G11*31*10^(-6),(-0.0005*$D11^2+0.4042*$D11+3.44)*$C11*(($D11-$F11)/($D11-20))*$G11*31*10^(-6))</f>
        <v>0</v>
      </c>
      <c r="Q11" s="127">
        <f>IF($E11=1,(-0.0016*$D11^2+0.5985*$D11+0.3642)*$C11*(($D11-'Параметры теплоносителя'!$C$16)/($D11-5))*$G11*30*10^(-6),(-0.0005*$D11^2+0.4042*$D11+3.44)*$C11*(($D11-$F11)/($D11-20))*$G11*30*10^(-6))</f>
        <v>0</v>
      </c>
      <c r="R11" s="127">
        <f>IF($E11=1,(-0.0016*$D11^2+0.5985*$D11+0.3642)*$C11*(($D11-'Параметры теплоносителя'!$C$17)/($D11-5))*$G11*31*10^(-6),(-0.0005*$D11^2+0.4042*$D11+3.44)*$C11*(($D11-$F11)/($D11-20))*$G11*31*10^(-6))</f>
        <v>0</v>
      </c>
      <c r="S11" s="127">
        <f>IF($E11=1,(-0.0016*$D11^2+0.5985*$D11+0.3642)*$C11*(($D11-'Параметры теплоносителя'!$C$18)/($D11-5))*$G11*30*10^(-6),(-0.0005*$D11^2+0.4042*$D11+3.44)*$C11*(($D11-$F11)/($D11-20))*$G11*30*10^(-6))</f>
        <v>0</v>
      </c>
      <c r="T11" s="128">
        <f>IF($E11=1,(-0.0016*$D11^2+0.5985*$D11+0.3642)*$C11*(($D11-'Параметры теплоносителя'!$C$19)/($D11-5))*$G11*31*10^(-6),(-0.0005*$D11^2+0.4042*$D11+3.44)*$C11*(($D11-$F11)/($D11-20))*$G11*31*10^(-6))</f>
        <v>0</v>
      </c>
      <c r="U11" s="129">
        <f>SUM(I11:T11)</f>
        <v>0</v>
      </c>
    </row>
    <row r="12" spans="1:21" ht="12.75">
      <c r="A12" s="61">
        <f>A11+1</f>
        <v>3</v>
      </c>
      <c r="B12" s="217"/>
      <c r="C12" s="150"/>
      <c r="D12" s="150"/>
      <c r="E12" s="150"/>
      <c r="F12" s="150"/>
      <c r="G12" s="153"/>
      <c r="H12" s="142">
        <f>U12</f>
        <v>0</v>
      </c>
      <c r="I12" s="141">
        <f>IF($E12=1,(-0.0016*$D12^2+0.5985*$D12+0.3642)*$C12*(($D12-'Параметры теплоносителя'!#REF!)/($D12-5))*$G12*31*10^(-6),(-0.0005*$D12^2+0.4042*$D12+3.44)*$C12*(($D12-$F12)/($D12-20))*$G12*31*10^(-6))</f>
        <v>0</v>
      </c>
      <c r="J12" s="127">
        <f>IF($E12=1,(-0.0016*$D12^2+0.5985*$D12+0.3642)*$C12*(($D12-'Параметры теплоносителя'!#REF!)/($D12-5))*$G12*28*10^(-6),(-0.0005*$D12^2+0.4042*$D12+3.44)*$C12*(($D12-$F12)/($D12-20))*$G12*28*10^(-6))</f>
        <v>0</v>
      </c>
      <c r="K12" s="127">
        <f>IF($E12=1,(-0.0016*$D12^2+0.5985*$D12+0.3642)*$C12*(($D12-'Параметры теплоносителя'!$C$10)/($D12-5))*$G12*31*10^(-6),(-0.0005*$D12^2+0.4042*$D12+3.44)*$C12*(($D12-$F12)/($D12-20))*$G12*31*10^(-6))</f>
        <v>0</v>
      </c>
      <c r="L12" s="127">
        <f>IF($E12=1,(-0.0016*$D12^2+0.5985*$D12+0.3642)*$C12*(($D12-'Параметры теплоносителя'!$C$11)/($D12-5))*$G12*30*10^(-6),(-0.0005*$D12^2+0.4042*$D12+3.44)*$C12*(($D12-$F12)/($D12-20))*$G12*30*10^(-6))</f>
        <v>0</v>
      </c>
      <c r="M12" s="127">
        <f>IF($E12=1,(-0.0016*$D12^2+0.5985*$D12+0.3642)*$C12*(($D12-'Параметры теплоносителя'!$C$12)/($D12-5))*$G12*31*10^(-6),(-0.0005*$D12^2+0.4042*$D12+3.44)*$C12*(($D12-$F12)/($D12-20))*$G12*31*10^(-6))</f>
        <v>0</v>
      </c>
      <c r="N12" s="127">
        <f>IF($E12=1,(-0.0016*$D12^2+0.5985*$D12+0.3642)*$C12*(($D12-'Параметры теплоносителя'!$C$13)/($D12-5))*$G12*30*10^(-6),(-0.0005*$D12^2+0.4042*$D12+3.44)*$C12*(($D12-$F12)/($D12-20))*$G12*30*10^(-6))</f>
        <v>0</v>
      </c>
      <c r="O12" s="127">
        <f>IF($E12=1,(-0.0016*$D12^2+0.5985*$D12+0.3642)*$C12*(($D12-'Параметры теплоносителя'!$C$14)/($D12-5))*$G12*31*10^(-6),(-0.0005*$D12^2+0.4042*$D12+3.44)*$C12*(($D12-$F12)/($D12-20))*$G12*31*10^(-6))</f>
        <v>0</v>
      </c>
      <c r="P12" s="127">
        <f>IF($E12=1,(-0.0016*$D12^2+0.5985*$D12+0.3642)*$C12*(($D12-'Параметры теплоносителя'!$C$15)/($D12-5))*$G12*31*10^(-6),(-0.0005*$D12^2+0.4042*$D12+3.44)*$C12*(($D12-$F12)/($D12-20))*$G12*31*10^(-6))</f>
        <v>0</v>
      </c>
      <c r="Q12" s="127">
        <f>IF($E12=1,(-0.0016*$D12^2+0.5985*$D12+0.3642)*$C12*(($D12-'Параметры теплоносителя'!$C$16)/($D12-5))*$G12*30*10^(-6),(-0.0005*$D12^2+0.4042*$D12+3.44)*$C12*(($D12-$F12)/($D12-20))*$G12*30*10^(-6))</f>
        <v>0</v>
      </c>
      <c r="R12" s="127">
        <f>IF($E12=1,(-0.0016*$D12^2+0.5985*$D12+0.3642)*$C12*(($D12-'Параметры теплоносителя'!$C$17)/($D12-5))*$G12*31*10^(-6),(-0.0005*$D12^2+0.4042*$D12+3.44)*$C12*(($D12-$F12)/($D12-20))*$G12*31*10^(-6))</f>
        <v>0</v>
      </c>
      <c r="S12" s="127">
        <f>IF($E12=1,(-0.0016*$D12^2+0.5985*$D12+0.3642)*$C12*(($D12-'Параметры теплоносителя'!$C$18)/($D12-5))*$G12*30*10^(-6),(-0.0005*$D12^2+0.4042*$D12+3.44)*$C12*(($D12-$F12)/($D12-20))*$G12*30*10^(-6))</f>
        <v>0</v>
      </c>
      <c r="T12" s="128">
        <f>IF($E12=1,(-0.0016*$D12^2+0.5985*$D12+0.3642)*$C12*(($D12-'Параметры теплоносителя'!$C$19)/($D12-5))*$G12*31*10^(-6),(-0.0005*$D12^2+0.4042*$D12+3.44)*$C12*(($D12-$F12)/($D12-20))*$G12*31*10^(-6))</f>
        <v>0</v>
      </c>
      <c r="U12" s="129">
        <f>SUM(I12:T12)</f>
        <v>0</v>
      </c>
    </row>
    <row r="13" spans="1:21" ht="12.75">
      <c r="A13" s="61">
        <f>A12+1</f>
        <v>4</v>
      </c>
      <c r="B13" s="217"/>
      <c r="C13" s="150"/>
      <c r="D13" s="150"/>
      <c r="E13" s="150"/>
      <c r="F13" s="150"/>
      <c r="G13" s="153"/>
      <c r="H13" s="142">
        <f>U13</f>
        <v>0</v>
      </c>
      <c r="I13" s="141">
        <f>IF($E13=1,(-0.0016*$D13^2+0.5985*$D13+0.3642)*$C13*(($D13-'Параметры теплоносителя'!#REF!)/($D13-5))*$G13*31*10^(-6),(-0.0005*$D13^2+0.4042*$D13+3.44)*$C13*(($D13-$F13)/($D13-20))*$G13*31*10^(-6))</f>
        <v>0</v>
      </c>
      <c r="J13" s="127">
        <f>IF($E13=1,(-0.0016*$D13^2+0.5985*$D13+0.3642)*$C13*(($D13-'Параметры теплоносителя'!#REF!)/($D13-5))*$G13*28*10^(-6),(-0.0005*$D13^2+0.4042*$D13+3.44)*$C13*(($D13-$F13)/($D13-20))*$G13*28*10^(-6))</f>
        <v>0</v>
      </c>
      <c r="K13" s="127">
        <f>IF($E13=1,(-0.0016*$D13^2+0.5985*$D13+0.3642)*$C13*(($D13-'Параметры теплоносителя'!$C$10)/($D13-5))*$G13*31*10^(-6),(-0.0005*$D13^2+0.4042*$D13+3.44)*$C13*(($D13-$F13)/($D13-20))*$G13*31*10^(-6))</f>
        <v>0</v>
      </c>
      <c r="L13" s="127">
        <f>IF($E13=1,(-0.0016*$D13^2+0.5985*$D13+0.3642)*$C13*(($D13-'Параметры теплоносителя'!$C$11)/($D13-5))*$G13*30*10^(-6),(-0.0005*$D13^2+0.4042*$D13+3.44)*$C13*(($D13-$F13)/($D13-20))*$G13*30*10^(-6))</f>
        <v>0</v>
      </c>
      <c r="M13" s="127">
        <f>IF($E13=1,(-0.0016*$D13^2+0.5985*$D13+0.3642)*$C13*(($D13-'Параметры теплоносителя'!$C$12)/($D13-5))*$G13*31*10^(-6),(-0.0005*$D13^2+0.4042*$D13+3.44)*$C13*(($D13-$F13)/($D13-20))*$G13*31*10^(-6))</f>
        <v>0</v>
      </c>
      <c r="N13" s="127">
        <f>IF($E13=1,(-0.0016*$D13^2+0.5985*$D13+0.3642)*$C13*(($D13-'Параметры теплоносителя'!$C$13)/($D13-5))*$G13*30*10^(-6),(-0.0005*$D13^2+0.4042*$D13+3.44)*$C13*(($D13-$F13)/($D13-20))*$G13*30*10^(-6))</f>
        <v>0</v>
      </c>
      <c r="O13" s="127">
        <f>IF($E13=1,(-0.0016*$D13^2+0.5985*$D13+0.3642)*$C13*(($D13-'Параметры теплоносителя'!$C$14)/($D13-5))*$G13*31*10^(-6),(-0.0005*$D13^2+0.4042*$D13+3.44)*$C13*(($D13-$F13)/($D13-20))*$G13*31*10^(-6))</f>
        <v>0</v>
      </c>
      <c r="P13" s="127">
        <f>IF($E13=1,(-0.0016*$D13^2+0.5985*$D13+0.3642)*$C13*(($D13-'Параметры теплоносителя'!$C$15)/($D13-5))*$G13*31*10^(-6),(-0.0005*$D13^2+0.4042*$D13+3.44)*$C13*(($D13-$F13)/($D13-20))*$G13*31*10^(-6))</f>
        <v>0</v>
      </c>
      <c r="Q13" s="127">
        <f>IF($E13=1,(-0.0016*$D13^2+0.5985*$D13+0.3642)*$C13*(($D13-'Параметры теплоносителя'!$C$16)/($D13-5))*$G13*30*10^(-6),(-0.0005*$D13^2+0.4042*$D13+3.44)*$C13*(($D13-$F13)/($D13-20))*$G13*30*10^(-6))</f>
        <v>0</v>
      </c>
      <c r="R13" s="127">
        <f>IF($E13=1,(-0.0016*$D13^2+0.5985*$D13+0.3642)*$C13*(($D13-'Параметры теплоносителя'!$C$17)/($D13-5))*$G13*31*10^(-6),(-0.0005*$D13^2+0.4042*$D13+3.44)*$C13*(($D13-$F13)/($D13-20))*$G13*31*10^(-6))</f>
        <v>0</v>
      </c>
      <c r="S13" s="127">
        <f>IF($E13=1,(-0.0016*$D13^2+0.5985*$D13+0.3642)*$C13*(($D13-'Параметры теплоносителя'!$C$18)/($D13-5))*$G13*30*10^(-6),(-0.0005*$D13^2+0.4042*$D13+3.44)*$C13*(($D13-$F13)/($D13-20))*$G13*30*10^(-6))</f>
        <v>0</v>
      </c>
      <c r="T13" s="128">
        <f>IF($E13=1,(-0.0016*$D13^2+0.5985*$D13+0.3642)*$C13*(($D13-'Параметры теплоносителя'!$C$19)/($D13-5))*$G13*31*10^(-6),(-0.0005*$D13^2+0.4042*$D13+3.44)*$C13*(($D13-$F13)/($D13-20))*$G13*31*10^(-6))</f>
        <v>0</v>
      </c>
      <c r="U13" s="129">
        <f>SUM(I13:T13)</f>
        <v>0</v>
      </c>
    </row>
    <row r="14" spans="1:21" ht="13.5" thickBot="1">
      <c r="A14" s="140">
        <v>5</v>
      </c>
      <c r="B14" s="218"/>
      <c r="C14" s="155"/>
      <c r="D14" s="155"/>
      <c r="E14" s="155"/>
      <c r="F14" s="155"/>
      <c r="G14" s="158"/>
      <c r="H14" s="159">
        <f>U14</f>
        <v>0</v>
      </c>
      <c r="I14" s="141">
        <f>IF($E14=1,(-0.0016*$D14^2+0.5985*$D14+0.3642)*$C14*(($D14-'Параметры теплоносителя'!#REF!)/($D14-5))*$G14*31*10^(-6),(-0.0005*$D14^2+0.4042*$D14+3.44)*$C14*(($D14-$F14)/($D14-20))*$G14*31*10^(-6))</f>
        <v>0</v>
      </c>
      <c r="J14" s="127">
        <f>IF($E14=1,(-0.0016*$D14^2+0.5985*$D14+0.3642)*$C14*(($D14-'Параметры теплоносителя'!#REF!)/($D14-5))*$G14*28*10^(-6),(-0.0005*$D14^2+0.4042*$D14+3.44)*$C14*(($D14-$F14)/($D14-20))*$G14*28*10^(-6))</f>
        <v>0</v>
      </c>
      <c r="K14" s="127">
        <f>IF($E14=1,(-0.0016*$D14^2+0.5985*$D14+0.3642)*$C14*(($D14-'Параметры теплоносителя'!$C$10)/($D14-5))*$G14*31*10^(-6),(-0.0005*$D14^2+0.4042*$D14+3.44)*$C14*(($D14-$F14)/($D14-20))*$G14*31*10^(-6))</f>
        <v>0</v>
      </c>
      <c r="L14" s="127">
        <f>IF($E14=1,(-0.0016*$D14^2+0.5985*$D14+0.3642)*$C14*(($D14-'Параметры теплоносителя'!$C$11)/($D14-5))*$G14*30*10^(-6),(-0.0005*$D14^2+0.4042*$D14+3.44)*$C14*(($D14-$F14)/($D14-20))*$G14*30*10^(-6))</f>
        <v>0</v>
      </c>
      <c r="M14" s="127">
        <f>IF($E14=1,(-0.0016*$D14^2+0.5985*$D14+0.3642)*$C14*(($D14-'Параметры теплоносителя'!$C$12)/($D14-5))*$G14*31*10^(-6),(-0.0005*$D14^2+0.4042*$D14+3.44)*$C14*(($D14-$F14)/($D14-20))*$G14*31*10^(-6))</f>
        <v>0</v>
      </c>
      <c r="N14" s="127">
        <f>IF($E14=1,(-0.0016*$D14^2+0.5985*$D14+0.3642)*$C14*(($D14-'Параметры теплоносителя'!$C$13)/($D14-5))*$G14*30*10^(-6),(-0.0005*$D14^2+0.4042*$D14+3.44)*$C14*(($D14-$F14)/($D14-20))*$G14*30*10^(-6))</f>
        <v>0</v>
      </c>
      <c r="O14" s="127">
        <f>IF($E14=1,(-0.0016*$D14^2+0.5985*$D14+0.3642)*$C14*(($D14-'Параметры теплоносителя'!$C$14)/($D14-5))*$G14*31*10^(-6),(-0.0005*$D14^2+0.4042*$D14+3.44)*$C14*(($D14-$F14)/($D14-20))*$G14*31*10^(-6))</f>
        <v>0</v>
      </c>
      <c r="P14" s="127">
        <f>IF($E14=1,(-0.0016*$D14^2+0.5985*$D14+0.3642)*$C14*(($D14-'Параметры теплоносителя'!$C$15)/($D14-5))*$G14*31*10^(-6),(-0.0005*$D14^2+0.4042*$D14+3.44)*$C14*(($D14-$F14)/($D14-20))*$G14*31*10^(-6))</f>
        <v>0</v>
      </c>
      <c r="Q14" s="127">
        <f>IF($E14=1,(-0.0016*$D14^2+0.5985*$D14+0.3642)*$C14*(($D14-'Параметры теплоносителя'!$C$16)/($D14-5))*$G14*30*10^(-6),(-0.0005*$D14^2+0.4042*$D14+3.44)*$C14*(($D14-$F14)/($D14-20))*$G14*30*10^(-6))</f>
        <v>0</v>
      </c>
      <c r="R14" s="127">
        <f>IF($E14=1,(-0.0016*$D14^2+0.5985*$D14+0.3642)*$C14*(($D14-'Параметры теплоносителя'!$C$17)/($D14-5))*$G14*31*10^(-6),(-0.0005*$D14^2+0.4042*$D14+3.44)*$C14*(($D14-$F14)/($D14-20))*$G14*31*10^(-6))</f>
        <v>0</v>
      </c>
      <c r="S14" s="127">
        <f>IF($E14=1,(-0.0016*$D14^2+0.5985*$D14+0.3642)*$C14*(($D14-'Параметры теплоносителя'!$C$18)/($D14-5))*$G14*30*10^(-6),(-0.0005*$D14^2+0.4042*$D14+3.44)*$C14*(($D14-$F14)/($D14-20))*$G14*30*10^(-6))</f>
        <v>0</v>
      </c>
      <c r="T14" s="128">
        <f>IF($E14=1,(-0.0016*$D14^2+0.5985*$D14+0.3642)*$C14*(($D14-'Параметры теплоносителя'!$C$19)/($D14-5))*$G14*31*10^(-6),(-0.0005*$D14^2+0.4042*$D14+3.44)*$C14*(($D14-$F14)/($D14-20))*$G14*31*10^(-6))</f>
        <v>0</v>
      </c>
      <c r="U14" s="129">
        <f>SUM(I14:T14)</f>
        <v>0</v>
      </c>
    </row>
    <row r="15" spans="1:21" ht="4.5" customHeight="1" thickBot="1">
      <c r="A15" s="160"/>
      <c r="B15" s="161"/>
      <c r="C15" s="161"/>
      <c r="D15" s="161"/>
      <c r="E15" s="161"/>
      <c r="F15" s="161"/>
      <c r="G15" s="161"/>
      <c r="H15" s="162"/>
      <c r="I15" s="130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1"/>
    </row>
    <row r="16" spans="1:21" ht="13.5" thickBot="1">
      <c r="A16" s="88" t="s">
        <v>12</v>
      </c>
      <c r="B16" s="67"/>
      <c r="C16" s="67"/>
      <c r="D16" s="67"/>
      <c r="E16" s="67"/>
      <c r="F16" s="67"/>
      <c r="G16" s="67"/>
      <c r="H16" s="143" t="e">
        <f aca="true" t="shared" si="0" ref="H16:U16">SUM(H10:H15)</f>
        <v>#REF!</v>
      </c>
      <c r="I16" s="132" t="e">
        <f t="shared" si="0"/>
        <v>#REF!</v>
      </c>
      <c r="J16" s="133" t="e">
        <f t="shared" si="0"/>
        <v>#REF!</v>
      </c>
      <c r="K16" s="133">
        <f t="shared" si="0"/>
        <v>3.144048024</v>
      </c>
      <c r="L16" s="133">
        <f t="shared" si="0"/>
        <v>3.04262712</v>
      </c>
      <c r="M16" s="133">
        <f t="shared" si="0"/>
        <v>3.144048024</v>
      </c>
      <c r="N16" s="133" t="e">
        <f t="shared" si="0"/>
        <v>#VALUE!</v>
      </c>
      <c r="O16" s="133">
        <f t="shared" si="0"/>
        <v>2.9989381152000005</v>
      </c>
      <c r="P16" s="133">
        <f t="shared" si="0"/>
        <v>3.144048024</v>
      </c>
      <c r="Q16" s="133">
        <f t="shared" si="0"/>
        <v>3.04262712</v>
      </c>
      <c r="R16" s="133">
        <f t="shared" si="0"/>
        <v>3.144048024</v>
      </c>
      <c r="S16" s="133">
        <f t="shared" si="0"/>
        <v>3.04262712</v>
      </c>
      <c r="T16" s="134">
        <f t="shared" si="0"/>
        <v>3.144048024</v>
      </c>
      <c r="U16" s="135" t="e">
        <f t="shared" si="0"/>
        <v>#REF!</v>
      </c>
    </row>
    <row r="19" spans="1:26" ht="15.75">
      <c r="A19" s="652" t="s">
        <v>124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8"/>
      <c r="W19" s="68"/>
      <c r="X19" s="68"/>
      <c r="Y19" s="68"/>
      <c r="Z19" s="68"/>
    </row>
    <row r="20" ht="13.5" thickBot="1"/>
    <row r="21" spans="1:21" ht="76.5" customHeight="1">
      <c r="A21" s="653" t="s">
        <v>13</v>
      </c>
      <c r="B21" s="714" t="s">
        <v>18</v>
      </c>
      <c r="C21" s="715"/>
      <c r="D21" s="641" t="s">
        <v>26</v>
      </c>
      <c r="E21" s="660"/>
      <c r="F21" s="641" t="s">
        <v>125</v>
      </c>
      <c r="G21" s="642"/>
      <c r="H21" s="57" t="s">
        <v>70</v>
      </c>
      <c r="I21" s="55" t="s">
        <v>0</v>
      </c>
      <c r="J21" s="55" t="s">
        <v>1</v>
      </c>
      <c r="K21" s="55" t="s">
        <v>2</v>
      </c>
      <c r="L21" s="55" t="s">
        <v>3</v>
      </c>
      <c r="M21" s="55" t="s">
        <v>4</v>
      </c>
      <c r="N21" s="55" t="s">
        <v>5</v>
      </c>
      <c r="O21" s="55" t="s">
        <v>6</v>
      </c>
      <c r="P21" s="55" t="s">
        <v>7</v>
      </c>
      <c r="Q21" s="55" t="s">
        <v>8</v>
      </c>
      <c r="R21" s="55" t="s">
        <v>9</v>
      </c>
      <c r="S21" s="55" t="s">
        <v>10</v>
      </c>
      <c r="T21" s="56" t="s">
        <v>11</v>
      </c>
      <c r="U21" s="57" t="s">
        <v>16</v>
      </c>
    </row>
    <row r="22" spans="1:21" ht="13.5" customHeight="1" thickBot="1">
      <c r="A22" s="654"/>
      <c r="B22" s="716"/>
      <c r="C22" s="717"/>
      <c r="D22" s="643" t="s">
        <v>19</v>
      </c>
      <c r="E22" s="661"/>
      <c r="F22" s="643" t="s">
        <v>20</v>
      </c>
      <c r="G22" s="644"/>
      <c r="H22" s="60" t="s">
        <v>15</v>
      </c>
      <c r="I22" s="693" t="s">
        <v>75</v>
      </c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9"/>
      <c r="U22" s="60" t="s">
        <v>15</v>
      </c>
    </row>
    <row r="23" spans="1:21" ht="12.75">
      <c r="A23" s="100">
        <v>1</v>
      </c>
      <c r="B23" s="718" t="str">
        <f>'Расход тепла на растопку'!B9</f>
        <v>ДКВР-20</v>
      </c>
      <c r="C23" s="719"/>
      <c r="D23" s="712">
        <f>'Расход тепла на растопку'!C9</f>
        <v>20</v>
      </c>
      <c r="E23" s="713"/>
      <c r="F23" s="694">
        <v>2</v>
      </c>
      <c r="G23" s="697"/>
      <c r="H23" s="219">
        <f>0.2*$D23*$F23</f>
        <v>8</v>
      </c>
      <c r="I23" s="141">
        <f>$H23/12</f>
        <v>0.6666666666666666</v>
      </c>
      <c r="J23" s="141">
        <f aca="true" t="shared" si="1" ref="J23:T37">$H23/12</f>
        <v>0.6666666666666666</v>
      </c>
      <c r="K23" s="141">
        <f t="shared" si="1"/>
        <v>0.6666666666666666</v>
      </c>
      <c r="L23" s="141">
        <f t="shared" si="1"/>
        <v>0.6666666666666666</v>
      </c>
      <c r="M23" s="141">
        <f t="shared" si="1"/>
        <v>0.6666666666666666</v>
      </c>
      <c r="N23" s="141">
        <f t="shared" si="1"/>
        <v>0.6666666666666666</v>
      </c>
      <c r="O23" s="141">
        <f t="shared" si="1"/>
        <v>0.6666666666666666</v>
      </c>
      <c r="P23" s="141">
        <f t="shared" si="1"/>
        <v>0.6666666666666666</v>
      </c>
      <c r="Q23" s="141">
        <f t="shared" si="1"/>
        <v>0.6666666666666666</v>
      </c>
      <c r="R23" s="141">
        <f t="shared" si="1"/>
        <v>0.6666666666666666</v>
      </c>
      <c r="S23" s="141">
        <f t="shared" si="1"/>
        <v>0.6666666666666666</v>
      </c>
      <c r="T23" s="141">
        <f t="shared" si="1"/>
        <v>0.6666666666666666</v>
      </c>
      <c r="U23" s="129">
        <f>SUM(I23:T23)</f>
        <v>8</v>
      </c>
    </row>
    <row r="24" spans="1:21" ht="12.75">
      <c r="A24" s="220">
        <v>2</v>
      </c>
      <c r="B24" s="704" t="str">
        <f>'Расход тепла на растопку'!B10</f>
        <v>ДЕ-25</v>
      </c>
      <c r="C24" s="705"/>
      <c r="D24" s="706">
        <f>'Расход тепла на растопку'!C10</f>
        <v>25</v>
      </c>
      <c r="E24" s="707"/>
      <c r="F24" s="679">
        <v>2</v>
      </c>
      <c r="G24" s="702"/>
      <c r="H24" s="219">
        <f aca="true" t="shared" si="2" ref="H24:H37">0.2*$D24*$F24</f>
        <v>10</v>
      </c>
      <c r="I24" s="141">
        <f aca="true" t="shared" si="3" ref="I24:I37">$H24/12</f>
        <v>0.8333333333333334</v>
      </c>
      <c r="J24" s="141">
        <f t="shared" si="1"/>
        <v>0.8333333333333334</v>
      </c>
      <c r="K24" s="141">
        <f t="shared" si="1"/>
        <v>0.8333333333333334</v>
      </c>
      <c r="L24" s="141">
        <f t="shared" si="1"/>
        <v>0.8333333333333334</v>
      </c>
      <c r="M24" s="141">
        <f t="shared" si="1"/>
        <v>0.8333333333333334</v>
      </c>
      <c r="N24" s="141">
        <f t="shared" si="1"/>
        <v>0.8333333333333334</v>
      </c>
      <c r="O24" s="141">
        <f t="shared" si="1"/>
        <v>0.8333333333333334</v>
      </c>
      <c r="P24" s="141">
        <f t="shared" si="1"/>
        <v>0.8333333333333334</v>
      </c>
      <c r="Q24" s="141">
        <f t="shared" si="1"/>
        <v>0.8333333333333334</v>
      </c>
      <c r="R24" s="141">
        <f t="shared" si="1"/>
        <v>0.8333333333333334</v>
      </c>
      <c r="S24" s="141">
        <f t="shared" si="1"/>
        <v>0.8333333333333334</v>
      </c>
      <c r="T24" s="141">
        <f t="shared" si="1"/>
        <v>0.8333333333333334</v>
      </c>
      <c r="U24" s="129">
        <f aca="true" t="shared" si="4" ref="U24:U37">SUM(I24:T24)</f>
        <v>10</v>
      </c>
    </row>
    <row r="25" spans="1:21" ht="12.75">
      <c r="A25" s="220">
        <v>3</v>
      </c>
      <c r="B25" s="704">
        <f>'Расход тепла на растопку'!B11</f>
        <v>0</v>
      </c>
      <c r="C25" s="705"/>
      <c r="D25" s="706">
        <f>'Расход тепла на растопку'!C11</f>
        <v>0</v>
      </c>
      <c r="E25" s="707"/>
      <c r="F25" s="679"/>
      <c r="G25" s="702"/>
      <c r="H25" s="219">
        <f t="shared" si="2"/>
        <v>0</v>
      </c>
      <c r="I25" s="141">
        <f t="shared" si="3"/>
        <v>0</v>
      </c>
      <c r="J25" s="141">
        <f t="shared" si="1"/>
        <v>0</v>
      </c>
      <c r="K25" s="141">
        <f t="shared" si="1"/>
        <v>0</v>
      </c>
      <c r="L25" s="141">
        <f t="shared" si="1"/>
        <v>0</v>
      </c>
      <c r="M25" s="141">
        <f t="shared" si="1"/>
        <v>0</v>
      </c>
      <c r="N25" s="141">
        <f t="shared" si="1"/>
        <v>0</v>
      </c>
      <c r="O25" s="141">
        <f t="shared" si="1"/>
        <v>0</v>
      </c>
      <c r="P25" s="141">
        <f t="shared" si="1"/>
        <v>0</v>
      </c>
      <c r="Q25" s="141">
        <f t="shared" si="1"/>
        <v>0</v>
      </c>
      <c r="R25" s="141">
        <f t="shared" si="1"/>
        <v>0</v>
      </c>
      <c r="S25" s="141">
        <f t="shared" si="1"/>
        <v>0</v>
      </c>
      <c r="T25" s="141">
        <f t="shared" si="1"/>
        <v>0</v>
      </c>
      <c r="U25" s="129">
        <f t="shared" si="4"/>
        <v>0</v>
      </c>
    </row>
    <row r="26" spans="1:21" ht="12.75">
      <c r="A26" s="220">
        <v>4</v>
      </c>
      <c r="B26" s="704">
        <f>'Расход тепла на растопку'!B12</f>
        <v>0</v>
      </c>
      <c r="C26" s="705"/>
      <c r="D26" s="706">
        <f>'Расход тепла на растопку'!C12</f>
        <v>0</v>
      </c>
      <c r="E26" s="707"/>
      <c r="F26" s="679"/>
      <c r="G26" s="702"/>
      <c r="H26" s="219">
        <f t="shared" si="2"/>
        <v>0</v>
      </c>
      <c r="I26" s="141">
        <f t="shared" si="3"/>
        <v>0</v>
      </c>
      <c r="J26" s="141">
        <f t="shared" si="1"/>
        <v>0</v>
      </c>
      <c r="K26" s="141">
        <f t="shared" si="1"/>
        <v>0</v>
      </c>
      <c r="L26" s="141">
        <f t="shared" si="1"/>
        <v>0</v>
      </c>
      <c r="M26" s="141">
        <f t="shared" si="1"/>
        <v>0</v>
      </c>
      <c r="N26" s="141">
        <f t="shared" si="1"/>
        <v>0</v>
      </c>
      <c r="O26" s="141">
        <f t="shared" si="1"/>
        <v>0</v>
      </c>
      <c r="P26" s="141">
        <f t="shared" si="1"/>
        <v>0</v>
      </c>
      <c r="Q26" s="141">
        <f t="shared" si="1"/>
        <v>0</v>
      </c>
      <c r="R26" s="141">
        <f t="shared" si="1"/>
        <v>0</v>
      </c>
      <c r="S26" s="141">
        <f t="shared" si="1"/>
        <v>0</v>
      </c>
      <c r="T26" s="141">
        <f t="shared" si="1"/>
        <v>0</v>
      </c>
      <c r="U26" s="129">
        <f t="shared" si="4"/>
        <v>0</v>
      </c>
    </row>
    <row r="27" spans="1:21" ht="12.75">
      <c r="A27" s="220">
        <v>5</v>
      </c>
      <c r="B27" s="704">
        <f>'Расход тепла на растопку'!B13</f>
        <v>0</v>
      </c>
      <c r="C27" s="705"/>
      <c r="D27" s="706">
        <f>'Расход тепла на растопку'!C13</f>
        <v>0</v>
      </c>
      <c r="E27" s="707"/>
      <c r="F27" s="679"/>
      <c r="G27" s="702"/>
      <c r="H27" s="219">
        <f t="shared" si="2"/>
        <v>0</v>
      </c>
      <c r="I27" s="141">
        <f t="shared" si="3"/>
        <v>0</v>
      </c>
      <c r="J27" s="141">
        <f t="shared" si="1"/>
        <v>0</v>
      </c>
      <c r="K27" s="141">
        <f t="shared" si="1"/>
        <v>0</v>
      </c>
      <c r="L27" s="141">
        <f t="shared" si="1"/>
        <v>0</v>
      </c>
      <c r="M27" s="141">
        <f t="shared" si="1"/>
        <v>0</v>
      </c>
      <c r="N27" s="141">
        <f t="shared" si="1"/>
        <v>0</v>
      </c>
      <c r="O27" s="141">
        <f t="shared" si="1"/>
        <v>0</v>
      </c>
      <c r="P27" s="141">
        <f t="shared" si="1"/>
        <v>0</v>
      </c>
      <c r="Q27" s="141">
        <f t="shared" si="1"/>
        <v>0</v>
      </c>
      <c r="R27" s="141">
        <f t="shared" si="1"/>
        <v>0</v>
      </c>
      <c r="S27" s="141">
        <f t="shared" si="1"/>
        <v>0</v>
      </c>
      <c r="T27" s="141">
        <f t="shared" si="1"/>
        <v>0</v>
      </c>
      <c r="U27" s="129">
        <f t="shared" si="4"/>
        <v>0</v>
      </c>
    </row>
    <row r="28" spans="1:21" ht="12.75">
      <c r="A28" s="220">
        <v>6</v>
      </c>
      <c r="B28" s="704" t="str">
        <f>'Расход тепла на растопку'!B23</f>
        <v>КВГМ-50</v>
      </c>
      <c r="C28" s="705"/>
      <c r="D28" s="706">
        <f>'Расход тепла на растопку'!C23</f>
        <v>50</v>
      </c>
      <c r="E28" s="707"/>
      <c r="F28" s="679">
        <v>3</v>
      </c>
      <c r="G28" s="702"/>
      <c r="H28" s="219">
        <f t="shared" si="2"/>
        <v>30</v>
      </c>
      <c r="I28" s="141">
        <f t="shared" si="3"/>
        <v>2.5</v>
      </c>
      <c r="J28" s="141">
        <f t="shared" si="1"/>
        <v>2.5</v>
      </c>
      <c r="K28" s="141">
        <f t="shared" si="1"/>
        <v>2.5</v>
      </c>
      <c r="L28" s="141">
        <f t="shared" si="1"/>
        <v>2.5</v>
      </c>
      <c r="M28" s="141">
        <f t="shared" si="1"/>
        <v>2.5</v>
      </c>
      <c r="N28" s="141">
        <f t="shared" si="1"/>
        <v>2.5</v>
      </c>
      <c r="O28" s="141">
        <f t="shared" si="1"/>
        <v>2.5</v>
      </c>
      <c r="P28" s="141">
        <f t="shared" si="1"/>
        <v>2.5</v>
      </c>
      <c r="Q28" s="141">
        <f t="shared" si="1"/>
        <v>2.5</v>
      </c>
      <c r="R28" s="141">
        <f t="shared" si="1"/>
        <v>2.5</v>
      </c>
      <c r="S28" s="141">
        <f t="shared" si="1"/>
        <v>2.5</v>
      </c>
      <c r="T28" s="141">
        <f t="shared" si="1"/>
        <v>2.5</v>
      </c>
      <c r="U28" s="129">
        <f t="shared" si="4"/>
        <v>30</v>
      </c>
    </row>
    <row r="29" spans="1:21" ht="12.75">
      <c r="A29" s="220">
        <v>7</v>
      </c>
      <c r="B29" s="704" t="str">
        <f>'Расход тепла на растопку'!B24</f>
        <v>КВГМ-10</v>
      </c>
      <c r="C29" s="705"/>
      <c r="D29" s="706">
        <f>'Расход тепла на растопку'!C24</f>
        <v>10</v>
      </c>
      <c r="E29" s="707"/>
      <c r="F29" s="679">
        <v>2</v>
      </c>
      <c r="G29" s="702"/>
      <c r="H29" s="219">
        <f t="shared" si="2"/>
        <v>4</v>
      </c>
      <c r="I29" s="141">
        <f t="shared" si="3"/>
        <v>0.3333333333333333</v>
      </c>
      <c r="J29" s="141">
        <f t="shared" si="1"/>
        <v>0.3333333333333333</v>
      </c>
      <c r="K29" s="141">
        <f t="shared" si="1"/>
        <v>0.3333333333333333</v>
      </c>
      <c r="L29" s="141">
        <f t="shared" si="1"/>
        <v>0.3333333333333333</v>
      </c>
      <c r="M29" s="141">
        <f t="shared" si="1"/>
        <v>0.3333333333333333</v>
      </c>
      <c r="N29" s="141">
        <f t="shared" si="1"/>
        <v>0.3333333333333333</v>
      </c>
      <c r="O29" s="141">
        <f t="shared" si="1"/>
        <v>0.3333333333333333</v>
      </c>
      <c r="P29" s="141">
        <f t="shared" si="1"/>
        <v>0.3333333333333333</v>
      </c>
      <c r="Q29" s="141">
        <f t="shared" si="1"/>
        <v>0.3333333333333333</v>
      </c>
      <c r="R29" s="141">
        <f t="shared" si="1"/>
        <v>0.3333333333333333</v>
      </c>
      <c r="S29" s="141">
        <f t="shared" si="1"/>
        <v>0.3333333333333333</v>
      </c>
      <c r="T29" s="141">
        <f t="shared" si="1"/>
        <v>0.3333333333333333</v>
      </c>
      <c r="U29" s="129">
        <f t="shared" si="4"/>
        <v>4</v>
      </c>
    </row>
    <row r="30" spans="1:21" ht="12.75">
      <c r="A30" s="220">
        <v>8</v>
      </c>
      <c r="B30" s="704" t="str">
        <f>'Расход тепла на растопку'!B25</f>
        <v>ТВГ-4</v>
      </c>
      <c r="C30" s="705"/>
      <c r="D30" s="706">
        <f>'Расход тепла на растопку'!C25</f>
        <v>4</v>
      </c>
      <c r="E30" s="707"/>
      <c r="F30" s="679">
        <v>1</v>
      </c>
      <c r="G30" s="702"/>
      <c r="H30" s="219">
        <f t="shared" si="2"/>
        <v>0.8</v>
      </c>
      <c r="I30" s="141">
        <f t="shared" si="3"/>
        <v>0.06666666666666667</v>
      </c>
      <c r="J30" s="141">
        <f t="shared" si="1"/>
        <v>0.06666666666666667</v>
      </c>
      <c r="K30" s="141">
        <f t="shared" si="1"/>
        <v>0.06666666666666667</v>
      </c>
      <c r="L30" s="141">
        <f t="shared" si="1"/>
        <v>0.06666666666666667</v>
      </c>
      <c r="M30" s="141">
        <f t="shared" si="1"/>
        <v>0.06666666666666667</v>
      </c>
      <c r="N30" s="141">
        <f t="shared" si="1"/>
        <v>0.06666666666666667</v>
      </c>
      <c r="O30" s="141">
        <f t="shared" si="1"/>
        <v>0.06666666666666667</v>
      </c>
      <c r="P30" s="141">
        <f t="shared" si="1"/>
        <v>0.06666666666666667</v>
      </c>
      <c r="Q30" s="141">
        <f t="shared" si="1"/>
        <v>0.06666666666666667</v>
      </c>
      <c r="R30" s="141">
        <f t="shared" si="1"/>
        <v>0.06666666666666667</v>
      </c>
      <c r="S30" s="141">
        <f t="shared" si="1"/>
        <v>0.06666666666666667</v>
      </c>
      <c r="T30" s="141">
        <f t="shared" si="1"/>
        <v>0.06666666666666667</v>
      </c>
      <c r="U30" s="129">
        <f t="shared" si="4"/>
        <v>0.7999999999999999</v>
      </c>
    </row>
    <row r="31" spans="1:21" ht="12.75">
      <c r="A31" s="220">
        <v>9</v>
      </c>
      <c r="B31" s="704">
        <f>'Расход тепла на растопку'!B26</f>
        <v>0</v>
      </c>
      <c r="C31" s="705"/>
      <c r="D31" s="706">
        <f>'Расход тепла на растопку'!C26</f>
        <v>0</v>
      </c>
      <c r="E31" s="707"/>
      <c r="F31" s="679"/>
      <c r="G31" s="702"/>
      <c r="H31" s="219">
        <f t="shared" si="2"/>
        <v>0</v>
      </c>
      <c r="I31" s="141">
        <f t="shared" si="3"/>
        <v>0</v>
      </c>
      <c r="J31" s="141">
        <f t="shared" si="1"/>
        <v>0</v>
      </c>
      <c r="K31" s="141">
        <f t="shared" si="1"/>
        <v>0</v>
      </c>
      <c r="L31" s="141">
        <f t="shared" si="1"/>
        <v>0</v>
      </c>
      <c r="M31" s="141">
        <f t="shared" si="1"/>
        <v>0</v>
      </c>
      <c r="N31" s="141">
        <f t="shared" si="1"/>
        <v>0</v>
      </c>
      <c r="O31" s="141">
        <f t="shared" si="1"/>
        <v>0</v>
      </c>
      <c r="P31" s="141">
        <f t="shared" si="1"/>
        <v>0</v>
      </c>
      <c r="Q31" s="141">
        <f t="shared" si="1"/>
        <v>0</v>
      </c>
      <c r="R31" s="141">
        <f t="shared" si="1"/>
        <v>0</v>
      </c>
      <c r="S31" s="141">
        <f t="shared" si="1"/>
        <v>0</v>
      </c>
      <c r="T31" s="141">
        <f t="shared" si="1"/>
        <v>0</v>
      </c>
      <c r="U31" s="129">
        <f t="shared" si="4"/>
        <v>0</v>
      </c>
    </row>
    <row r="32" spans="1:21" ht="12.75">
      <c r="A32" s="220">
        <v>10</v>
      </c>
      <c r="B32" s="704">
        <f>'Расход тепла на растопку'!B27</f>
        <v>0</v>
      </c>
      <c r="C32" s="705"/>
      <c r="D32" s="706">
        <f>'Расход тепла на растопку'!C27</f>
        <v>0</v>
      </c>
      <c r="E32" s="707"/>
      <c r="F32" s="679"/>
      <c r="G32" s="702"/>
      <c r="H32" s="219">
        <f t="shared" si="2"/>
        <v>0</v>
      </c>
      <c r="I32" s="141">
        <f t="shared" si="3"/>
        <v>0</v>
      </c>
      <c r="J32" s="141">
        <f t="shared" si="1"/>
        <v>0</v>
      </c>
      <c r="K32" s="141">
        <f t="shared" si="1"/>
        <v>0</v>
      </c>
      <c r="L32" s="141">
        <f t="shared" si="1"/>
        <v>0</v>
      </c>
      <c r="M32" s="141">
        <f t="shared" si="1"/>
        <v>0</v>
      </c>
      <c r="N32" s="141">
        <f t="shared" si="1"/>
        <v>0</v>
      </c>
      <c r="O32" s="141">
        <f t="shared" si="1"/>
        <v>0</v>
      </c>
      <c r="P32" s="141">
        <f t="shared" si="1"/>
        <v>0</v>
      </c>
      <c r="Q32" s="141">
        <f t="shared" si="1"/>
        <v>0</v>
      </c>
      <c r="R32" s="141">
        <f t="shared" si="1"/>
        <v>0</v>
      </c>
      <c r="S32" s="141">
        <f t="shared" si="1"/>
        <v>0</v>
      </c>
      <c r="T32" s="141">
        <f t="shared" si="1"/>
        <v>0</v>
      </c>
      <c r="U32" s="129">
        <f t="shared" si="4"/>
        <v>0</v>
      </c>
    </row>
    <row r="33" spans="1:21" ht="12.75">
      <c r="A33" s="220">
        <v>11</v>
      </c>
      <c r="B33" s="704">
        <f>'Расход тепла на растопку'!B28</f>
        <v>0</v>
      </c>
      <c r="C33" s="705"/>
      <c r="D33" s="706">
        <f>'Расход тепла на растопку'!C28</f>
        <v>0</v>
      </c>
      <c r="E33" s="707"/>
      <c r="F33" s="679"/>
      <c r="G33" s="702"/>
      <c r="H33" s="219">
        <f t="shared" si="2"/>
        <v>0</v>
      </c>
      <c r="I33" s="141">
        <f t="shared" si="3"/>
        <v>0</v>
      </c>
      <c r="J33" s="141">
        <f t="shared" si="1"/>
        <v>0</v>
      </c>
      <c r="K33" s="141">
        <f t="shared" si="1"/>
        <v>0</v>
      </c>
      <c r="L33" s="141">
        <f t="shared" si="1"/>
        <v>0</v>
      </c>
      <c r="M33" s="141">
        <f t="shared" si="1"/>
        <v>0</v>
      </c>
      <c r="N33" s="141">
        <f t="shared" si="1"/>
        <v>0</v>
      </c>
      <c r="O33" s="141">
        <f t="shared" si="1"/>
        <v>0</v>
      </c>
      <c r="P33" s="141">
        <f t="shared" si="1"/>
        <v>0</v>
      </c>
      <c r="Q33" s="141">
        <f t="shared" si="1"/>
        <v>0</v>
      </c>
      <c r="R33" s="141">
        <f t="shared" si="1"/>
        <v>0</v>
      </c>
      <c r="S33" s="141">
        <f t="shared" si="1"/>
        <v>0</v>
      </c>
      <c r="T33" s="141">
        <f t="shared" si="1"/>
        <v>0</v>
      </c>
      <c r="U33" s="129">
        <f t="shared" si="4"/>
        <v>0</v>
      </c>
    </row>
    <row r="34" spans="1:21" ht="12.75">
      <c r="A34" s="61">
        <v>12</v>
      </c>
      <c r="B34" s="704">
        <f>'Расход тепла на растопку'!B29</f>
        <v>0</v>
      </c>
      <c r="C34" s="705"/>
      <c r="D34" s="706">
        <f>'Расход тепла на растопку'!C29</f>
        <v>0</v>
      </c>
      <c r="E34" s="707"/>
      <c r="F34" s="679"/>
      <c r="G34" s="702"/>
      <c r="H34" s="142">
        <f t="shared" si="2"/>
        <v>0</v>
      </c>
      <c r="I34" s="141">
        <f t="shared" si="3"/>
        <v>0</v>
      </c>
      <c r="J34" s="141">
        <f t="shared" si="1"/>
        <v>0</v>
      </c>
      <c r="K34" s="141">
        <f t="shared" si="1"/>
        <v>0</v>
      </c>
      <c r="L34" s="141">
        <f t="shared" si="1"/>
        <v>0</v>
      </c>
      <c r="M34" s="141">
        <f t="shared" si="1"/>
        <v>0</v>
      </c>
      <c r="N34" s="141">
        <f t="shared" si="1"/>
        <v>0</v>
      </c>
      <c r="O34" s="141">
        <f t="shared" si="1"/>
        <v>0</v>
      </c>
      <c r="P34" s="141">
        <f t="shared" si="1"/>
        <v>0</v>
      </c>
      <c r="Q34" s="141">
        <f t="shared" si="1"/>
        <v>0</v>
      </c>
      <c r="R34" s="141">
        <f t="shared" si="1"/>
        <v>0</v>
      </c>
      <c r="S34" s="141">
        <f t="shared" si="1"/>
        <v>0</v>
      </c>
      <c r="T34" s="141">
        <f t="shared" si="1"/>
        <v>0</v>
      </c>
      <c r="U34" s="129">
        <f t="shared" si="4"/>
        <v>0</v>
      </c>
    </row>
    <row r="35" spans="1:21" ht="12.75">
      <c r="A35" s="61">
        <v>13</v>
      </c>
      <c r="B35" s="704">
        <f>'Расход тепла на растопку'!B30</f>
        <v>0</v>
      </c>
      <c r="C35" s="705"/>
      <c r="D35" s="706">
        <f>'Расход тепла на растопку'!C30</f>
        <v>0</v>
      </c>
      <c r="E35" s="707"/>
      <c r="F35" s="679"/>
      <c r="G35" s="702"/>
      <c r="H35" s="142">
        <f t="shared" si="2"/>
        <v>0</v>
      </c>
      <c r="I35" s="141">
        <f t="shared" si="3"/>
        <v>0</v>
      </c>
      <c r="J35" s="141">
        <f t="shared" si="1"/>
        <v>0</v>
      </c>
      <c r="K35" s="141">
        <f t="shared" si="1"/>
        <v>0</v>
      </c>
      <c r="L35" s="141">
        <f t="shared" si="1"/>
        <v>0</v>
      </c>
      <c r="M35" s="141">
        <f t="shared" si="1"/>
        <v>0</v>
      </c>
      <c r="N35" s="141">
        <f t="shared" si="1"/>
        <v>0</v>
      </c>
      <c r="O35" s="141">
        <f t="shared" si="1"/>
        <v>0</v>
      </c>
      <c r="P35" s="141">
        <f t="shared" si="1"/>
        <v>0</v>
      </c>
      <c r="Q35" s="141">
        <f t="shared" si="1"/>
        <v>0</v>
      </c>
      <c r="R35" s="141">
        <f t="shared" si="1"/>
        <v>0</v>
      </c>
      <c r="S35" s="141">
        <f t="shared" si="1"/>
        <v>0</v>
      </c>
      <c r="T35" s="141">
        <f t="shared" si="1"/>
        <v>0</v>
      </c>
      <c r="U35" s="129">
        <f t="shared" si="4"/>
        <v>0</v>
      </c>
    </row>
    <row r="36" spans="1:21" ht="12.75">
      <c r="A36" s="61">
        <v>14</v>
      </c>
      <c r="B36" s="704">
        <f>'Расход тепла на растопку'!B31</f>
        <v>0</v>
      </c>
      <c r="C36" s="705"/>
      <c r="D36" s="706">
        <f>'Расход тепла на растопку'!C31</f>
        <v>0</v>
      </c>
      <c r="E36" s="707"/>
      <c r="F36" s="679"/>
      <c r="G36" s="702"/>
      <c r="H36" s="142">
        <f t="shared" si="2"/>
        <v>0</v>
      </c>
      <c r="I36" s="141">
        <f t="shared" si="3"/>
        <v>0</v>
      </c>
      <c r="J36" s="141">
        <f t="shared" si="1"/>
        <v>0</v>
      </c>
      <c r="K36" s="141">
        <f t="shared" si="1"/>
        <v>0</v>
      </c>
      <c r="L36" s="141">
        <f t="shared" si="1"/>
        <v>0</v>
      </c>
      <c r="M36" s="141">
        <f t="shared" si="1"/>
        <v>0</v>
      </c>
      <c r="N36" s="141">
        <f t="shared" si="1"/>
        <v>0</v>
      </c>
      <c r="O36" s="141">
        <f t="shared" si="1"/>
        <v>0</v>
      </c>
      <c r="P36" s="141">
        <f t="shared" si="1"/>
        <v>0</v>
      </c>
      <c r="Q36" s="141">
        <f t="shared" si="1"/>
        <v>0</v>
      </c>
      <c r="R36" s="141">
        <f t="shared" si="1"/>
        <v>0</v>
      </c>
      <c r="S36" s="141">
        <f t="shared" si="1"/>
        <v>0</v>
      </c>
      <c r="T36" s="141">
        <f t="shared" si="1"/>
        <v>0</v>
      </c>
      <c r="U36" s="129">
        <f t="shared" si="4"/>
        <v>0</v>
      </c>
    </row>
    <row r="37" spans="1:21" ht="13.5" thickBot="1">
      <c r="A37" s="140">
        <v>15</v>
      </c>
      <c r="B37" s="708">
        <f>'Расход тепла на растопку'!B32</f>
        <v>0</v>
      </c>
      <c r="C37" s="709"/>
      <c r="D37" s="710">
        <f>'Расход тепла на растопку'!C32</f>
        <v>0</v>
      </c>
      <c r="E37" s="711"/>
      <c r="F37" s="681"/>
      <c r="G37" s="703"/>
      <c r="H37" s="159">
        <f t="shared" si="2"/>
        <v>0</v>
      </c>
      <c r="I37" s="141">
        <f t="shared" si="3"/>
        <v>0</v>
      </c>
      <c r="J37" s="141">
        <f t="shared" si="1"/>
        <v>0</v>
      </c>
      <c r="K37" s="141">
        <f t="shared" si="1"/>
        <v>0</v>
      </c>
      <c r="L37" s="141">
        <f t="shared" si="1"/>
        <v>0</v>
      </c>
      <c r="M37" s="141">
        <f t="shared" si="1"/>
        <v>0</v>
      </c>
      <c r="N37" s="141">
        <f t="shared" si="1"/>
        <v>0</v>
      </c>
      <c r="O37" s="141">
        <f t="shared" si="1"/>
        <v>0</v>
      </c>
      <c r="P37" s="141">
        <f t="shared" si="1"/>
        <v>0</v>
      </c>
      <c r="Q37" s="141">
        <f t="shared" si="1"/>
        <v>0</v>
      </c>
      <c r="R37" s="141">
        <f t="shared" si="1"/>
        <v>0</v>
      </c>
      <c r="S37" s="141">
        <f t="shared" si="1"/>
        <v>0</v>
      </c>
      <c r="T37" s="141">
        <f t="shared" si="1"/>
        <v>0</v>
      </c>
      <c r="U37" s="129">
        <f t="shared" si="4"/>
        <v>0</v>
      </c>
    </row>
    <row r="38" spans="1:21" ht="4.5" customHeight="1" thickBot="1">
      <c r="A38" s="160"/>
      <c r="B38" s="161"/>
      <c r="C38" s="161"/>
      <c r="D38" s="161"/>
      <c r="E38" s="161"/>
      <c r="F38" s="161"/>
      <c r="G38" s="161"/>
      <c r="H38" s="162"/>
      <c r="I38" s="130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1"/>
    </row>
    <row r="39" spans="1:21" ht="13.5" thickBot="1">
      <c r="A39" s="88" t="s">
        <v>12</v>
      </c>
      <c r="B39" s="67"/>
      <c r="C39" s="67"/>
      <c r="D39" s="67"/>
      <c r="E39" s="67"/>
      <c r="F39" s="67"/>
      <c r="G39" s="67"/>
      <c r="H39" s="143">
        <f aca="true" t="shared" si="5" ref="H39:U39">SUM(H23:H38)</f>
        <v>52.8</v>
      </c>
      <c r="I39" s="132">
        <f t="shared" si="5"/>
        <v>4.3999999999999995</v>
      </c>
      <c r="J39" s="133">
        <f t="shared" si="5"/>
        <v>4.3999999999999995</v>
      </c>
      <c r="K39" s="133">
        <f t="shared" si="5"/>
        <v>4.3999999999999995</v>
      </c>
      <c r="L39" s="133">
        <f t="shared" si="5"/>
        <v>4.3999999999999995</v>
      </c>
      <c r="M39" s="133">
        <f t="shared" si="5"/>
        <v>4.3999999999999995</v>
      </c>
      <c r="N39" s="133">
        <f t="shared" si="5"/>
        <v>4.3999999999999995</v>
      </c>
      <c r="O39" s="133">
        <f t="shared" si="5"/>
        <v>4.3999999999999995</v>
      </c>
      <c r="P39" s="133">
        <f t="shared" si="5"/>
        <v>4.3999999999999995</v>
      </c>
      <c r="Q39" s="133">
        <f t="shared" si="5"/>
        <v>4.3999999999999995</v>
      </c>
      <c r="R39" s="133">
        <f t="shared" si="5"/>
        <v>4.3999999999999995</v>
      </c>
      <c r="S39" s="133">
        <f t="shared" si="5"/>
        <v>4.3999999999999995</v>
      </c>
      <c r="T39" s="134">
        <f t="shared" si="5"/>
        <v>4.3999999999999995</v>
      </c>
      <c r="U39" s="135">
        <f t="shared" si="5"/>
        <v>52.8</v>
      </c>
    </row>
    <row r="42" spans="1:26" ht="15.75">
      <c r="A42" s="652" t="s">
        <v>210</v>
      </c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8"/>
      <c r="W42" s="68"/>
      <c r="X42" s="68"/>
      <c r="Y42" s="68"/>
      <c r="Z42" s="68"/>
    </row>
    <row r="43" ht="13.5" thickBot="1"/>
    <row r="44" spans="1:21" ht="76.5" customHeight="1">
      <c r="A44" s="653" t="s">
        <v>13</v>
      </c>
      <c r="B44" s="641" t="s">
        <v>126</v>
      </c>
      <c r="C44" s="691"/>
      <c r="D44" s="691"/>
      <c r="E44" s="691"/>
      <c r="F44" s="691"/>
      <c r="G44" s="642"/>
      <c r="H44" s="57" t="s">
        <v>70</v>
      </c>
      <c r="I44" s="55" t="s">
        <v>0</v>
      </c>
      <c r="J44" s="55" t="s">
        <v>1</v>
      </c>
      <c r="K44" s="55" t="s">
        <v>2</v>
      </c>
      <c r="L44" s="55" t="s">
        <v>3</v>
      </c>
      <c r="M44" s="55" t="s">
        <v>4</v>
      </c>
      <c r="N44" s="55" t="s">
        <v>5</v>
      </c>
      <c r="O44" s="55" t="s">
        <v>6</v>
      </c>
      <c r="P44" s="55" t="s">
        <v>7</v>
      </c>
      <c r="Q44" s="55" t="s">
        <v>8</v>
      </c>
      <c r="R44" s="55" t="s">
        <v>9</v>
      </c>
      <c r="S44" s="55" t="s">
        <v>10</v>
      </c>
      <c r="T44" s="56" t="s">
        <v>11</v>
      </c>
      <c r="U44" s="57" t="s">
        <v>16</v>
      </c>
    </row>
    <row r="45" spans="1:21" ht="13.5" customHeight="1" thickBot="1">
      <c r="A45" s="654"/>
      <c r="B45" s="643" t="s">
        <v>127</v>
      </c>
      <c r="C45" s="692"/>
      <c r="D45" s="692"/>
      <c r="E45" s="692"/>
      <c r="F45" s="692"/>
      <c r="G45" s="644"/>
      <c r="H45" s="60" t="s">
        <v>15</v>
      </c>
      <c r="I45" s="693" t="s">
        <v>211</v>
      </c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9"/>
      <c r="U45" s="60" t="s">
        <v>15</v>
      </c>
    </row>
    <row r="46" spans="1:21" ht="13.5" thickBot="1">
      <c r="A46" s="100">
        <v>1</v>
      </c>
      <c r="B46" s="720">
        <v>0</v>
      </c>
      <c r="C46" s="721"/>
      <c r="D46" s="721"/>
      <c r="E46" s="721"/>
      <c r="F46" s="721"/>
      <c r="G46" s="722"/>
      <c r="H46" s="249" t="e">
        <f>U46</f>
        <v>#REF!</v>
      </c>
      <c r="I46" s="250" t="e">
        <f>IF($B46=1,0.02*'Полезный отпуск тепла'!E26,0.01*'Полезный отпуск тепла'!E26)</f>
        <v>#REF!</v>
      </c>
      <c r="J46" s="250" t="e">
        <f>IF($B46=1,0.02*'Полезный отпуск тепла'!F26,0.01*'Полезный отпуск тепла'!F26)</f>
        <v>#REF!</v>
      </c>
      <c r="K46" s="250" t="e">
        <f>IF($B46=1,0.02*'Полезный отпуск тепла'!G26,0.01*'Полезный отпуск тепла'!G26)</f>
        <v>#DIV/0!</v>
      </c>
      <c r="L46" s="250" t="e">
        <f>IF($B46=1,0.02*'Полезный отпуск тепла'!H26,0.01*'Полезный отпуск тепла'!H26)</f>
        <v>#DIV/0!</v>
      </c>
      <c r="M46" s="250" t="e">
        <f>IF($B46=1,0.02*'Полезный отпуск тепла'!I26,0.01*'Полезный отпуск тепла'!I26)</f>
        <v>#DIV/0!</v>
      </c>
      <c r="N46" s="250" t="e">
        <f>IF($B46=1,0.02*'Полезный отпуск тепла'!J26,0.01*'Полезный отпуск тепла'!J26)</f>
        <v>#VALUE!</v>
      </c>
      <c r="O46" s="250" t="e">
        <f>IF($B46=1,0.02*'Полезный отпуск тепла'!K26,0.01*'Полезный отпуск тепла'!K26)</f>
        <v>#DIV/0!</v>
      </c>
      <c r="P46" s="250" t="e">
        <f>IF($B46=1,0.02*'Полезный отпуск тепла'!L26,0.01*'Полезный отпуск тепла'!L26)</f>
        <v>#DIV/0!</v>
      </c>
      <c r="Q46" s="250" t="e">
        <f>IF($B46=1,0.02*'Полезный отпуск тепла'!M26,0.01*'Полезный отпуск тепла'!M26)</f>
        <v>#DIV/0!</v>
      </c>
      <c r="R46" s="250" t="e">
        <f>IF($B46=1,0.02*'Полезный отпуск тепла'!N26,0.01*'Полезный отпуск тепла'!N26)</f>
        <v>#DIV/0!</v>
      </c>
      <c r="S46" s="250" t="e">
        <f>IF($B46=1,0.02*'Полезный отпуск тепла'!O26,0.01*'Полезный отпуск тепла'!O26)</f>
        <v>#DIV/0!</v>
      </c>
      <c r="T46" s="250" t="e">
        <f>IF($B46=1,0.02*'Полезный отпуск тепла'!P26,0.01*'Полезный отпуск тепла'!P26)</f>
        <v>#DIV/0!</v>
      </c>
      <c r="U46" s="248" t="e">
        <f>SUM(I46:T46)</f>
        <v>#REF!</v>
      </c>
    </row>
    <row r="47" spans="1:21" ht="4.5" customHeight="1" thickBot="1">
      <c r="A47" s="160"/>
      <c r="B47" s="161"/>
      <c r="C47" s="161"/>
      <c r="D47" s="161"/>
      <c r="E47" s="161"/>
      <c r="F47" s="161"/>
      <c r="G47" s="161"/>
      <c r="H47" s="162"/>
      <c r="I47" s="251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21"/>
    </row>
    <row r="48" spans="1:21" ht="13.5" thickBot="1">
      <c r="A48" s="88" t="s">
        <v>12</v>
      </c>
      <c r="B48" s="67"/>
      <c r="C48" s="67"/>
      <c r="D48" s="67"/>
      <c r="E48" s="67"/>
      <c r="F48" s="67"/>
      <c r="G48" s="67"/>
      <c r="H48" s="243" t="e">
        <f aca="true" t="shared" si="6" ref="H48:U48">SUM(H46:H47)</f>
        <v>#REF!</v>
      </c>
      <c r="I48" s="244" t="e">
        <f t="shared" si="6"/>
        <v>#REF!</v>
      </c>
      <c r="J48" s="245" t="e">
        <f t="shared" si="6"/>
        <v>#REF!</v>
      </c>
      <c r="K48" s="245" t="e">
        <f t="shared" si="6"/>
        <v>#DIV/0!</v>
      </c>
      <c r="L48" s="245" t="e">
        <f t="shared" si="6"/>
        <v>#DIV/0!</v>
      </c>
      <c r="M48" s="245" t="e">
        <f t="shared" si="6"/>
        <v>#DIV/0!</v>
      </c>
      <c r="N48" s="245" t="e">
        <f t="shared" si="6"/>
        <v>#VALUE!</v>
      </c>
      <c r="O48" s="245" t="e">
        <f t="shared" si="6"/>
        <v>#DIV/0!</v>
      </c>
      <c r="P48" s="245" t="e">
        <f t="shared" si="6"/>
        <v>#DIV/0!</v>
      </c>
      <c r="Q48" s="245" t="e">
        <f t="shared" si="6"/>
        <v>#DIV/0!</v>
      </c>
      <c r="R48" s="245" t="e">
        <f t="shared" si="6"/>
        <v>#DIV/0!</v>
      </c>
      <c r="S48" s="245" t="e">
        <f t="shared" si="6"/>
        <v>#DIV/0!</v>
      </c>
      <c r="T48" s="246" t="e">
        <f t="shared" si="6"/>
        <v>#DIV/0!</v>
      </c>
      <c r="U48" s="247" t="e">
        <f t="shared" si="6"/>
        <v>#REF!</v>
      </c>
    </row>
    <row r="50" ht="13.5" thickBot="1"/>
    <row r="51" spans="1:21" ht="16.5" thickBot="1">
      <c r="A51" s="676" t="s">
        <v>102</v>
      </c>
      <c r="B51" s="677"/>
      <c r="C51" s="677"/>
      <c r="D51" s="677"/>
      <c r="E51" s="677"/>
      <c r="F51" s="677"/>
      <c r="G51" s="677"/>
      <c r="H51" s="239" t="e">
        <f>H16+H39+H48</f>
        <v>#REF!</v>
      </c>
      <c r="I51" s="240" t="e">
        <f aca="true" t="shared" si="7" ref="I51:U51">I16+I39+I48</f>
        <v>#REF!</v>
      </c>
      <c r="J51" s="241" t="e">
        <f t="shared" si="7"/>
        <v>#REF!</v>
      </c>
      <c r="K51" s="241" t="e">
        <f t="shared" si="7"/>
        <v>#DIV/0!</v>
      </c>
      <c r="L51" s="241" t="e">
        <f t="shared" si="7"/>
        <v>#DIV/0!</v>
      </c>
      <c r="M51" s="241" t="e">
        <f t="shared" si="7"/>
        <v>#DIV/0!</v>
      </c>
      <c r="N51" s="241" t="e">
        <f t="shared" si="7"/>
        <v>#VALUE!</v>
      </c>
      <c r="O51" s="241" t="e">
        <f t="shared" si="7"/>
        <v>#DIV/0!</v>
      </c>
      <c r="P51" s="241" t="e">
        <f t="shared" si="7"/>
        <v>#DIV/0!</v>
      </c>
      <c r="Q51" s="241" t="e">
        <f t="shared" si="7"/>
        <v>#DIV/0!</v>
      </c>
      <c r="R51" s="241" t="e">
        <f t="shared" si="7"/>
        <v>#DIV/0!</v>
      </c>
      <c r="S51" s="241" t="e">
        <f t="shared" si="7"/>
        <v>#DIV/0!</v>
      </c>
      <c r="T51" s="242" t="e">
        <f t="shared" si="7"/>
        <v>#DIV/0!</v>
      </c>
      <c r="U51" s="239" t="e">
        <f t="shared" si="7"/>
        <v>#REF!</v>
      </c>
    </row>
  </sheetData>
  <sheetProtection sheet="1" objects="1" scenarios="1"/>
  <mergeCells count="66">
    <mergeCell ref="B46:G46"/>
    <mergeCell ref="B44:G44"/>
    <mergeCell ref="B45:G45"/>
    <mergeCell ref="A51:G51"/>
    <mergeCell ref="A44:A45"/>
    <mergeCell ref="D37:E37"/>
    <mergeCell ref="A6:U6"/>
    <mergeCell ref="D22:E22"/>
    <mergeCell ref="D23:E23"/>
    <mergeCell ref="D24:E24"/>
    <mergeCell ref="D25:E25"/>
    <mergeCell ref="D26:E26"/>
    <mergeCell ref="D27:E27"/>
    <mergeCell ref="B21:C22"/>
    <mergeCell ref="B23:C23"/>
    <mergeCell ref="A42:U42"/>
    <mergeCell ref="D33:E33"/>
    <mergeCell ref="D34:E34"/>
    <mergeCell ref="D35:E35"/>
    <mergeCell ref="D36:E36"/>
    <mergeCell ref="B35:C35"/>
    <mergeCell ref="B36:C36"/>
    <mergeCell ref="B37:C37"/>
    <mergeCell ref="F37:G37"/>
    <mergeCell ref="F34:G34"/>
    <mergeCell ref="B24:C24"/>
    <mergeCell ref="B25:C25"/>
    <mergeCell ref="B26:C26"/>
    <mergeCell ref="B27:C27"/>
    <mergeCell ref="B28:C28"/>
    <mergeCell ref="B29:C29"/>
    <mergeCell ref="D21:E21"/>
    <mergeCell ref="F33:G33"/>
    <mergeCell ref="B31:C31"/>
    <mergeCell ref="B30:C30"/>
    <mergeCell ref="D28:E28"/>
    <mergeCell ref="D29:E29"/>
    <mergeCell ref="D30:E30"/>
    <mergeCell ref="D32:E32"/>
    <mergeCell ref="F25:G25"/>
    <mergeCell ref="F26:G26"/>
    <mergeCell ref="F27:G27"/>
    <mergeCell ref="F28:G28"/>
    <mergeCell ref="F21:G21"/>
    <mergeCell ref="F22:G22"/>
    <mergeCell ref="F23:G23"/>
    <mergeCell ref="F24:G24"/>
    <mergeCell ref="F31:G31"/>
    <mergeCell ref="F32:G32"/>
    <mergeCell ref="F35:G35"/>
    <mergeCell ref="F36:G36"/>
    <mergeCell ref="A19:U19"/>
    <mergeCell ref="A21:A22"/>
    <mergeCell ref="I22:T22"/>
    <mergeCell ref="I45:T45"/>
    <mergeCell ref="B32:C32"/>
    <mergeCell ref="B33:C33"/>
    <mergeCell ref="B34:C34"/>
    <mergeCell ref="D31:E31"/>
    <mergeCell ref="F29:G29"/>
    <mergeCell ref="F30:G30"/>
    <mergeCell ref="A2:C2"/>
    <mergeCell ref="A8:A9"/>
    <mergeCell ref="I9:T9"/>
    <mergeCell ref="B8:B9"/>
    <mergeCell ref="A4:U4"/>
  </mergeCells>
  <hyperlinks>
    <hyperlink ref="C6" location="Оглавление!A1" display="Возврат в оглавление"/>
    <hyperlink ref="A2" location="Оглавление!A1" display="Возврат в оглавление"/>
  </hyperlinks>
  <printOptions/>
  <pageMargins left="0.4" right="0.31" top="0.76" bottom="0.54" header="0.5" footer="0.29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zoomScale="70" zoomScaleNormal="70" workbookViewId="0" topLeftCell="A1">
      <selection activeCell="A2" sqref="A2:B2"/>
    </sheetView>
  </sheetViews>
  <sheetFormatPr defaultColWidth="9.140625" defaultRowHeight="12.75"/>
  <cols>
    <col min="1" max="1" width="5.7109375" style="2" customWidth="1"/>
    <col min="2" max="2" width="49.7109375" style="2" customWidth="1"/>
    <col min="3" max="14" width="12.140625" style="2" bestFit="1" customWidth="1"/>
    <col min="15" max="15" width="13.140625" style="2" customWidth="1"/>
    <col min="16" max="16384" width="9.140625" style="2" customWidth="1"/>
  </cols>
  <sheetData>
    <row r="1" ht="8.25" customHeight="1" thickBot="1"/>
    <row r="2" spans="1:3" ht="30" customHeight="1" thickBot="1" thickTop="1">
      <c r="A2" s="474" t="s">
        <v>190</v>
      </c>
      <c r="B2" s="458"/>
      <c r="C2" s="309"/>
    </row>
    <row r="3" ht="13.5" thickTop="1"/>
    <row r="4" spans="1:15" ht="18.75">
      <c r="A4" s="620" t="s">
        <v>131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</row>
    <row r="6" ht="13.5" thickBot="1"/>
    <row r="7" spans="1:15" s="73" customFormat="1" ht="76.5" customHeight="1">
      <c r="A7" s="653" t="s">
        <v>13</v>
      </c>
      <c r="B7" s="723" t="s">
        <v>130</v>
      </c>
      <c r="C7" s="54" t="s">
        <v>0</v>
      </c>
      <c r="D7" s="55" t="s">
        <v>1</v>
      </c>
      <c r="E7" s="55" t="s">
        <v>2</v>
      </c>
      <c r="F7" s="55" t="s">
        <v>3</v>
      </c>
      <c r="G7" s="55" t="s">
        <v>4</v>
      </c>
      <c r="H7" s="55" t="s">
        <v>5</v>
      </c>
      <c r="I7" s="55" t="s">
        <v>6</v>
      </c>
      <c r="J7" s="55" t="s">
        <v>7</v>
      </c>
      <c r="K7" s="55" t="s">
        <v>8</v>
      </c>
      <c r="L7" s="55" t="s">
        <v>9</v>
      </c>
      <c r="M7" s="55" t="s">
        <v>10</v>
      </c>
      <c r="N7" s="56" t="s">
        <v>11</v>
      </c>
      <c r="O7" s="57" t="s">
        <v>16</v>
      </c>
    </row>
    <row r="8" spans="1:15" s="73" customFormat="1" ht="13.5" customHeight="1" thickBot="1">
      <c r="A8" s="654"/>
      <c r="B8" s="724"/>
      <c r="C8" s="658" t="s">
        <v>22</v>
      </c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9"/>
      <c r="O8" s="60" t="s">
        <v>15</v>
      </c>
    </row>
    <row r="9" spans="1:15" s="73" customFormat="1" ht="15" customHeight="1">
      <c r="A9" s="100">
        <v>1</v>
      </c>
      <c r="B9" s="223">
        <f>'Расход тепла на хоз. нужды'!A3</f>
        <v>0</v>
      </c>
      <c r="C9" s="388">
        <f>'Расход тепла на хоз. нужды'!E23</f>
        <v>0</v>
      </c>
      <c r="D9" s="388">
        <f>'Расход тепла на хоз. нужды'!F23</f>
        <v>0</v>
      </c>
      <c r="E9" s="388">
        <f>'Расход тепла на хоз. нужды'!G23</f>
        <v>0</v>
      </c>
      <c r="F9" s="388">
        <f>'Расход тепла на хоз. нужды'!H23</f>
        <v>0</v>
      </c>
      <c r="G9" s="388">
        <f>'Расход тепла на хоз. нужды'!I23</f>
        <v>0</v>
      </c>
      <c r="H9" s="388">
        <f>'Расход тепла на хоз. нужды'!J23</f>
        <v>0</v>
      </c>
      <c r="I9" s="388">
        <f>'Расход тепла на хоз. нужды'!K23</f>
        <v>0</v>
      </c>
      <c r="J9" s="388">
        <f>'Расход тепла на хоз. нужды'!L23</f>
        <v>0</v>
      </c>
      <c r="K9" s="388">
        <f>'Расход тепла на хоз. нужды'!M23</f>
        <v>0</v>
      </c>
      <c r="L9" s="388">
        <f>'Расход тепла на хоз. нужды'!N23</f>
        <v>0</v>
      </c>
      <c r="M9" s="388">
        <f>'Расход тепла на хоз. нужды'!O23</f>
        <v>0</v>
      </c>
      <c r="N9" s="388">
        <f>'Расход тепла на хоз. нужды'!P23</f>
        <v>0</v>
      </c>
      <c r="O9" s="389">
        <f>SUM(C9:N9)</f>
        <v>0</v>
      </c>
    </row>
    <row r="10" spans="1:15" s="73" customFormat="1" ht="15" customHeight="1">
      <c r="A10" s="220">
        <v>2</v>
      </c>
      <c r="B10" s="224" t="str">
        <f>'Расход тепла на растопку'!A3</f>
        <v>Расход тепла на растопку котлов</v>
      </c>
      <c r="C10" s="388" t="e">
        <f>'Расход тепла на растопку'!G36</f>
        <v>#REF!</v>
      </c>
      <c r="D10" s="388" t="e">
        <f>'Расход тепла на растопку'!H36</f>
        <v>#REF!</v>
      </c>
      <c r="E10" s="388">
        <f>'Расход тепла на растопку'!I36</f>
        <v>27.886400000000002</v>
      </c>
      <c r="F10" s="388">
        <f>'Расход тепла на растопку'!J36</f>
        <v>27.886400000000002</v>
      </c>
      <c r="G10" s="388">
        <f>'Расход тепла на растопку'!K36</f>
        <v>29.78512</v>
      </c>
      <c r="H10" s="388">
        <f>'Расход тепла на растопку'!L36</f>
        <v>27.886400000000002</v>
      </c>
      <c r="I10" s="388">
        <f>'Расход тепла на растопку'!M36</f>
        <v>29.78512</v>
      </c>
      <c r="J10" s="388">
        <f>'Расход тепла на растопку'!N36</f>
        <v>29.78512</v>
      </c>
      <c r="K10" s="388">
        <f>'Расход тепла на растопку'!O36</f>
        <v>27.886400000000002</v>
      </c>
      <c r="L10" s="388">
        <f>'Расход тепла на растопку'!P36</f>
        <v>27.886400000000002</v>
      </c>
      <c r="M10" s="388">
        <f>'Расход тепла на растопку'!Q36</f>
        <v>27.886400000000002</v>
      </c>
      <c r="N10" s="388">
        <f>'Расход тепла на растопку'!R36</f>
        <v>27.886400000000002</v>
      </c>
      <c r="O10" s="389" t="e">
        <f aca="true" t="shared" si="0" ref="O10:O15">SUM(C10:N10)</f>
        <v>#REF!</v>
      </c>
    </row>
    <row r="11" spans="1:15" s="73" customFormat="1" ht="15" customHeight="1">
      <c r="A11" s="220">
        <v>3</v>
      </c>
      <c r="B11" s="224" t="str">
        <f>'Расход тепла на паровые котлы'!A3</f>
        <v>Расход тепла на паровые котлы</v>
      </c>
      <c r="C11" s="388">
        <f>'Расход тепла на паровые котлы'!G30</f>
        <v>15.642670679999998</v>
      </c>
      <c r="D11" s="388">
        <f>'Расход тепла на паровые котлы'!H30</f>
        <v>14.128863839999998</v>
      </c>
      <c r="E11" s="388">
        <f>'Расход тепла на паровые котлы'!I30</f>
        <v>15.642670679999998</v>
      </c>
      <c r="F11" s="388">
        <f>'Расход тепла на паровые котлы'!J30</f>
        <v>15.138068399999998</v>
      </c>
      <c r="G11" s="388">
        <f>'Расход тепла на паровые котлы'!K30</f>
        <v>15.642670679999998</v>
      </c>
      <c r="H11" s="388">
        <f>'Расход тепла на паровые котлы'!L30</f>
        <v>15.138068399999998</v>
      </c>
      <c r="I11" s="388">
        <f>'Расход тепла на паровые котлы'!M30</f>
        <v>15.642670679999998</v>
      </c>
      <c r="J11" s="388">
        <f>'Расход тепла на паровые котлы'!N30</f>
        <v>15.642670679999998</v>
      </c>
      <c r="K11" s="388">
        <f>'Расход тепла на паровые котлы'!O30</f>
        <v>15.138068399999998</v>
      </c>
      <c r="L11" s="388">
        <f>'Расход тепла на паровые котлы'!P30</f>
        <v>15.642670679999998</v>
      </c>
      <c r="M11" s="388">
        <f>'Расход тепла на паровые котлы'!Q30</f>
        <v>15.138068399999998</v>
      </c>
      <c r="N11" s="388">
        <f>'Расход тепла на паровые котлы'!R30</f>
        <v>15.642670679999998</v>
      </c>
      <c r="O11" s="389">
        <f t="shared" si="0"/>
        <v>184.1798322</v>
      </c>
    </row>
    <row r="12" spans="1:15" s="73" customFormat="1" ht="15" customHeight="1">
      <c r="A12" s="220">
        <v>4</v>
      </c>
      <c r="B12" s="224" t="str">
        <f>'Расход тепла на тех. нужды'!A4</f>
        <v>Расход тепла на технологические нужды</v>
      </c>
      <c r="C12" s="141" t="e">
        <f>'Расход тепла на тех. нужды'!I31</f>
        <v>#REF!</v>
      </c>
      <c r="D12" s="141" t="e">
        <f>'Расход тепла на тех. нужды'!J31</f>
        <v>#REF!</v>
      </c>
      <c r="E12" s="141">
        <f>'Расход тепла на тех. нужды'!K31</f>
        <v>0.0011385990000000001</v>
      </c>
      <c r="F12" s="141">
        <f>'Расход тепла на тех. нужды'!L31</f>
        <v>0.00110187</v>
      </c>
      <c r="G12" s="141">
        <f>'Расход тепла на тех. нужды'!M31</f>
        <v>0.0037953299999999995</v>
      </c>
      <c r="H12" s="141">
        <f>'Расход тепла на тех. нужды'!N31</f>
        <v>0.00110187</v>
      </c>
      <c r="I12" s="141">
        <f>'Расход тепла на тех. нужды'!O31</f>
        <v>0.0037953299999999995</v>
      </c>
      <c r="J12" s="141">
        <f>'Расход тепла на тех. нужды'!P31</f>
        <v>0.0037953299999999995</v>
      </c>
      <c r="K12" s="141">
        <f>'Расход тепла на тех. нужды'!Q31</f>
        <v>0.00110187</v>
      </c>
      <c r="L12" s="141">
        <f>'Расход тепла на тех. нужды'!R31</f>
        <v>0.0011385990000000001</v>
      </c>
      <c r="M12" s="141">
        <f>'Расход тепла на тех. нужды'!S31</f>
        <v>0.00110187</v>
      </c>
      <c r="N12" s="141">
        <f>'Расход тепла на тех. нужды'!T31</f>
        <v>0.0011385990000000001</v>
      </c>
      <c r="O12" s="129" t="e">
        <f t="shared" si="0"/>
        <v>#REF!</v>
      </c>
    </row>
    <row r="13" spans="1:15" s="73" customFormat="1" ht="15" customHeight="1">
      <c r="A13" s="220">
        <v>5</v>
      </c>
      <c r="B13" s="224" t="str">
        <f>'Расход тепла для нужд маз. хоз.'!A4</f>
        <v>Расход тепла для нужд мазутного хозяйства</v>
      </c>
      <c r="C13" s="388">
        <f>'Расход тепла для нужд маз. хоз.'!K62</f>
        <v>4.093260986103787</v>
      </c>
      <c r="D13" s="388">
        <f>'Расход тепла для нужд маз. хоз.'!L62</f>
        <v>4.093260986103787</v>
      </c>
      <c r="E13" s="388">
        <f>'Расход тепла для нужд маз. хоз.'!M62</f>
        <v>4.093260986103787</v>
      </c>
      <c r="F13" s="388">
        <f>'Расход тепла для нужд маз. хоз.'!N62</f>
        <v>4.093260986103787</v>
      </c>
      <c r="G13" s="388">
        <f>'Расход тепла для нужд маз. хоз.'!O62</f>
        <v>4.093260986103787</v>
      </c>
      <c r="H13" s="388">
        <f>'Расход тепла для нужд маз. хоз.'!P62</f>
        <v>4.093260986103787</v>
      </c>
      <c r="I13" s="388">
        <f>'Расход тепла для нужд маз. хоз.'!Q62</f>
        <v>4.093260986103787</v>
      </c>
      <c r="J13" s="388">
        <f>'Расход тепла для нужд маз. хоз.'!R62</f>
        <v>4.093260986103787</v>
      </c>
      <c r="K13" s="388">
        <f>'Расход тепла для нужд маз. хоз.'!S62</f>
        <v>4.093260986103787</v>
      </c>
      <c r="L13" s="388">
        <f>'Расход тепла для нужд маз. хоз.'!T62</f>
        <v>4.093260986103787</v>
      </c>
      <c r="M13" s="388">
        <f>'Расход тепла для нужд маз. хоз.'!U62</f>
        <v>4.093260986103787</v>
      </c>
      <c r="N13" s="388">
        <f>'Расход тепла для нужд маз. хоз.'!V62</f>
        <v>4.093260986103787</v>
      </c>
      <c r="O13" s="389">
        <f t="shared" si="0"/>
        <v>49.11913183324544</v>
      </c>
    </row>
    <row r="14" spans="1:15" s="73" customFormat="1" ht="15" customHeight="1">
      <c r="A14" s="220">
        <v>6</v>
      </c>
      <c r="B14" s="224" t="str">
        <f>'Прочие расходы тепла'!A4</f>
        <v>Прочие расходы тепла</v>
      </c>
      <c r="C14" s="388" t="e">
        <f>'Прочие расходы тепла'!I51</f>
        <v>#REF!</v>
      </c>
      <c r="D14" s="388" t="e">
        <f>'Прочие расходы тепла'!J51</f>
        <v>#REF!</v>
      </c>
      <c r="E14" s="388" t="e">
        <f>'Прочие расходы тепла'!K51</f>
        <v>#DIV/0!</v>
      </c>
      <c r="F14" s="388" t="e">
        <f>'Прочие расходы тепла'!L51</f>
        <v>#DIV/0!</v>
      </c>
      <c r="G14" s="388" t="e">
        <f>'Прочие расходы тепла'!M51</f>
        <v>#DIV/0!</v>
      </c>
      <c r="H14" s="388" t="e">
        <f>'Прочие расходы тепла'!N51</f>
        <v>#VALUE!</v>
      </c>
      <c r="I14" s="388" t="e">
        <f>'Прочие расходы тепла'!O51</f>
        <v>#DIV/0!</v>
      </c>
      <c r="J14" s="388" t="e">
        <f>'Прочие расходы тепла'!P51</f>
        <v>#DIV/0!</v>
      </c>
      <c r="K14" s="388" t="e">
        <f>'Прочие расходы тепла'!Q51</f>
        <v>#DIV/0!</v>
      </c>
      <c r="L14" s="388" t="e">
        <f>'Прочие расходы тепла'!R51</f>
        <v>#DIV/0!</v>
      </c>
      <c r="M14" s="388" t="e">
        <f>'Прочие расходы тепла'!S51</f>
        <v>#DIV/0!</v>
      </c>
      <c r="N14" s="388" t="e">
        <f>'Прочие расходы тепла'!T51</f>
        <v>#DIV/0!</v>
      </c>
      <c r="O14" s="389" t="e">
        <f t="shared" si="0"/>
        <v>#REF!</v>
      </c>
    </row>
    <row r="15" spans="1:15" s="73" customFormat="1" ht="15" customHeight="1" thickBot="1">
      <c r="A15" s="220">
        <v>7</v>
      </c>
      <c r="B15" s="224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9">
        <f t="shared" si="0"/>
        <v>0</v>
      </c>
    </row>
    <row r="16" spans="1:15" s="73" customFormat="1" ht="4.5" customHeight="1" thickBot="1">
      <c r="A16" s="160"/>
      <c r="B16" s="161"/>
      <c r="C16" s="86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87"/>
    </row>
    <row r="17" spans="1:15" s="73" customFormat="1" ht="15" customHeight="1" thickBot="1">
      <c r="A17" s="88" t="s">
        <v>129</v>
      </c>
      <c r="B17" s="67"/>
      <c r="C17" s="390" t="e">
        <f aca="true" t="shared" si="1" ref="C17:O17">SUM(C9:C16)</f>
        <v>#REF!</v>
      </c>
      <c r="D17" s="391" t="e">
        <f t="shared" si="1"/>
        <v>#REF!</v>
      </c>
      <c r="E17" s="391" t="e">
        <f t="shared" si="1"/>
        <v>#DIV/0!</v>
      </c>
      <c r="F17" s="391" t="e">
        <f t="shared" si="1"/>
        <v>#DIV/0!</v>
      </c>
      <c r="G17" s="391" t="e">
        <f t="shared" si="1"/>
        <v>#DIV/0!</v>
      </c>
      <c r="H17" s="391" t="e">
        <f t="shared" si="1"/>
        <v>#VALUE!</v>
      </c>
      <c r="I17" s="391" t="e">
        <f t="shared" si="1"/>
        <v>#DIV/0!</v>
      </c>
      <c r="J17" s="391" t="e">
        <f t="shared" si="1"/>
        <v>#DIV/0!</v>
      </c>
      <c r="K17" s="391" t="e">
        <f t="shared" si="1"/>
        <v>#DIV/0!</v>
      </c>
      <c r="L17" s="391" t="e">
        <f t="shared" si="1"/>
        <v>#DIV/0!</v>
      </c>
      <c r="M17" s="391" t="e">
        <f t="shared" si="1"/>
        <v>#DIV/0!</v>
      </c>
      <c r="N17" s="392" t="e">
        <f t="shared" si="1"/>
        <v>#DIV/0!</v>
      </c>
      <c r="O17" s="116" t="e">
        <f t="shared" si="1"/>
        <v>#REF!</v>
      </c>
    </row>
  </sheetData>
  <sheetProtection sheet="1" objects="1" scenarios="1"/>
  <mergeCells count="5">
    <mergeCell ref="A2:B2"/>
    <mergeCell ref="B7:B8"/>
    <mergeCell ref="A4:O4"/>
    <mergeCell ref="C8:N8"/>
    <mergeCell ref="A7:A8"/>
  </mergeCells>
  <hyperlinks>
    <hyperlink ref="A2" location="Оглавление!A1" display="Возврат в оглавление"/>
  </hyperlinks>
  <printOptions/>
  <pageMargins left="0.43" right="0.45" top="1" bottom="1" header="0.5" footer="0.5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showGridLines="0" zoomScale="70" zoomScaleNormal="70" workbookViewId="0" topLeftCell="A1">
      <selection activeCell="A2" sqref="A2:C2"/>
    </sheetView>
  </sheetViews>
  <sheetFormatPr defaultColWidth="9.140625" defaultRowHeight="12.75"/>
  <cols>
    <col min="1" max="1" width="4.7109375" style="73" customWidth="1"/>
    <col min="2" max="2" width="22.421875" style="73" customWidth="1"/>
    <col min="3" max="3" width="11.00390625" style="73" customWidth="1"/>
    <col min="4" max="4" width="10.28125" style="73" customWidth="1"/>
    <col min="5" max="16" width="13.7109375" style="73" customWidth="1"/>
    <col min="17" max="17" width="16.7109375" style="73" customWidth="1"/>
    <col min="18" max="18" width="11.57421875" style="73" customWidth="1"/>
    <col min="19" max="16384" width="9.140625" style="73" customWidth="1"/>
  </cols>
  <sheetData>
    <row r="1" ht="13.5" thickBot="1"/>
    <row r="2" spans="1:3" ht="24.75" customHeight="1" thickBot="1" thickTop="1">
      <c r="A2" s="727" t="s">
        <v>190</v>
      </c>
      <c r="B2" s="728"/>
      <c r="C2" s="729"/>
    </row>
    <row r="3" ht="13.5" thickTop="1"/>
    <row r="4" spans="1:21" ht="18.75">
      <c r="A4" s="620" t="s">
        <v>197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6"/>
      <c r="S4" s="66"/>
      <c r="T4" s="66"/>
      <c r="U4" s="66"/>
    </row>
    <row r="6" spans="1:17" s="47" customFormat="1" ht="19.5" customHeight="1">
      <c r="A6" s="726" t="s">
        <v>159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</row>
    <row r="7" spans="3:17" s="47" customFormat="1" ht="11.25">
      <c r="C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3:17" s="47" customFormat="1" ht="12" thickBot="1">
      <c r="C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58" customFormat="1" ht="70.5" customHeight="1">
      <c r="A9" s="653" t="s">
        <v>13</v>
      </c>
      <c r="B9" s="655" t="s">
        <v>154</v>
      </c>
      <c r="C9" s="714" t="s">
        <v>133</v>
      </c>
      <c r="D9" s="730" t="s">
        <v>134</v>
      </c>
      <c r="E9" s="54" t="s">
        <v>0</v>
      </c>
      <c r="F9" s="55" t="s">
        <v>1</v>
      </c>
      <c r="G9" s="55" t="s">
        <v>2</v>
      </c>
      <c r="H9" s="55" t="s">
        <v>3</v>
      </c>
      <c r="I9" s="55" t="s">
        <v>4</v>
      </c>
      <c r="J9" s="55" t="s">
        <v>5</v>
      </c>
      <c r="K9" s="55" t="s">
        <v>6</v>
      </c>
      <c r="L9" s="55" t="s">
        <v>7</v>
      </c>
      <c r="M9" s="55" t="s">
        <v>8</v>
      </c>
      <c r="N9" s="55" t="s">
        <v>9</v>
      </c>
      <c r="O9" s="55" t="s">
        <v>10</v>
      </c>
      <c r="P9" s="56" t="s">
        <v>11</v>
      </c>
      <c r="Q9" s="57" t="s">
        <v>16</v>
      </c>
    </row>
    <row r="10" spans="1:17" s="58" customFormat="1" ht="16.5" customHeight="1" thickBot="1">
      <c r="A10" s="654"/>
      <c r="B10" s="656"/>
      <c r="C10" s="716"/>
      <c r="D10" s="731"/>
      <c r="E10" s="658" t="s">
        <v>160</v>
      </c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9"/>
      <c r="Q10" s="60" t="s">
        <v>15</v>
      </c>
    </row>
    <row r="11" spans="1:17" s="258" customFormat="1" ht="29.25" customHeight="1">
      <c r="A11" s="253">
        <v>1</v>
      </c>
      <c r="B11" s="312" t="s">
        <v>155</v>
      </c>
      <c r="C11" s="364" t="s">
        <v>19</v>
      </c>
      <c r="D11" s="355">
        <v>50</v>
      </c>
      <c r="E11" s="254" t="e">
        <f>$D11*(('Параметры теплоносителя'!C24-'Параметры теплоносителя'!#REF!)/('Параметры теплоносителя'!C24-'Параметры теплоносителя'!$C$23))*24*'Параметры теплоносителя'!#REF!</f>
        <v>#REF!</v>
      </c>
      <c r="F11" s="255" t="e">
        <f>$D11*(('Параметры теплоносителя'!C24-'Параметры теплоносителя'!#REF!)/('Параметры теплоносителя'!C24-'Параметры теплоносителя'!$C$23))*24*'Параметры теплоносителя'!#REF!</f>
        <v>#REF!</v>
      </c>
      <c r="G11" s="255" t="e">
        <f>$D11*(('Параметры теплоносителя'!C24-'Параметры теплоносителя'!$C$10)/('Параметры теплоносителя'!C24-'Параметры теплоносителя'!$C$23))*24*'Параметры теплоносителя'!$D$10</f>
        <v>#DIV/0!</v>
      </c>
      <c r="H11" s="255" t="e">
        <f>$D11*(('Параметры теплоносителя'!C24-'Параметры теплоносителя'!$C$11)/('Параметры теплоносителя'!C24-'Параметры теплоносителя'!$C$23))*24*'Параметры теплоносителя'!$D$11</f>
        <v>#DIV/0!</v>
      </c>
      <c r="I11" s="255" t="e">
        <f>$D11*(('Параметры теплоносителя'!C24-'Параметры теплоносителя'!$C$12)/('Параметры теплоносителя'!C24-'Параметры теплоносителя'!$C$23))*24*'Параметры теплоносителя'!$D$12</f>
        <v>#DIV/0!</v>
      </c>
      <c r="J11" s="255" t="e">
        <f>$D11*(('Параметры теплоносителя'!C24-'Параметры теплоносителя'!$C$13)/('Параметры теплоносителя'!C24-'Параметры теплоносителя'!$C$23))*24*'Параметры теплоносителя'!$D$13</f>
        <v>#VALUE!</v>
      </c>
      <c r="K11" s="255" t="e">
        <f>$D11*(('Параметры теплоносителя'!C24-'Параметры теплоносителя'!$C$14)/('Параметры теплоносителя'!C24-'Параметры теплоносителя'!$C$23))*24*'Параметры теплоносителя'!$D$14</f>
        <v>#DIV/0!</v>
      </c>
      <c r="L11" s="255" t="e">
        <f>$D11*(('Параметры теплоносителя'!C24-'Параметры теплоносителя'!$C$15)/('Параметры теплоносителя'!C24-'Параметры теплоносителя'!$C$23))*24*'Параметры теплоносителя'!$D$15</f>
        <v>#DIV/0!</v>
      </c>
      <c r="M11" s="255" t="e">
        <f>$D11*(('Параметры теплоносителя'!C24-'Параметры теплоносителя'!$C$16)/('Параметры теплоносителя'!C24-'Параметры теплоносителя'!$C$23))*24*'Параметры теплоносителя'!$D$16</f>
        <v>#DIV/0!</v>
      </c>
      <c r="N11" s="255" t="e">
        <f>$D11*(('Параметры теплоносителя'!C24-'Параметры теплоносителя'!$C$17)/('Параметры теплоносителя'!C24-'Параметры теплоносителя'!$C$23))*24*'Параметры теплоносителя'!$D$17</f>
        <v>#DIV/0!</v>
      </c>
      <c r="O11" s="255" t="e">
        <f>$D11*(('Параметры теплоносителя'!C24-'Параметры теплоносителя'!$C$18)/('Параметры теплоносителя'!C24-'Параметры теплоносителя'!$C$23))*24*'Параметры теплоносителя'!$D$18</f>
        <v>#DIV/0!</v>
      </c>
      <c r="P11" s="256" t="e">
        <f>$D11*(('Параметры теплоносителя'!C24-'Параметры теплоносителя'!$C$19)/('Параметры теплоносителя'!C24-'Параметры теплоносителя'!$C$23))*24*'Параметры теплоносителя'!$D$19</f>
        <v>#DIV/0!</v>
      </c>
      <c r="Q11" s="257" t="e">
        <f>SUM(E11:P11)</f>
        <v>#REF!</v>
      </c>
    </row>
    <row r="12" spans="1:17" s="258" customFormat="1" ht="27" customHeight="1">
      <c r="A12" s="80">
        <v>2</v>
      </c>
      <c r="B12" s="259" t="s">
        <v>156</v>
      </c>
      <c r="C12" s="260" t="s">
        <v>19</v>
      </c>
      <c r="D12" s="365">
        <v>10</v>
      </c>
      <c r="E12" s="261" t="e">
        <f>$D12*(('Параметры теплоносителя'!C26-'Параметры теплоносителя'!#REF!)/('Параметры теплоносителя'!C26-'Параметры теплоносителя'!$C$25))*'Параметры теплоносителя'!#REF!*'Параметры теплоносителя'!#REF!</f>
        <v>#REF!</v>
      </c>
      <c r="F12" s="262" t="e">
        <f>$D12*(('Параметры теплоносителя'!C26-'Параметры теплоносителя'!#REF!)/('Параметры теплоносителя'!C26-'Параметры теплоносителя'!$C$25))*'Параметры теплоносителя'!#REF!*'Параметры теплоносителя'!#REF!</f>
        <v>#REF!</v>
      </c>
      <c r="G12" s="262" t="e">
        <f>$D12*(('Параметры теплоносителя'!C26-'Параметры теплоносителя'!$C$10)/('Параметры теплоносителя'!C26-'Параметры теплоносителя'!$C$25))*'Параметры теплоносителя'!#REF!*'Параметры теплоносителя'!$D$10</f>
        <v>#DIV/0!</v>
      </c>
      <c r="H12" s="262" t="e">
        <f>$D12*(('Параметры теплоносителя'!C26-'Параметры теплоносителя'!$C$11)/('Параметры теплоносителя'!C26-'Параметры теплоносителя'!$C$25))*'Параметры теплоносителя'!#REF!*'Параметры теплоносителя'!$D$11</f>
        <v>#DIV/0!</v>
      </c>
      <c r="I12" s="262" t="e">
        <f>$D12*(('Параметры теплоносителя'!C26-'Параметры теплоносителя'!$C$12)/('Параметры теплоносителя'!C26-'Параметры теплоносителя'!$C$25))*'Параметры теплоносителя'!#REF!*'Параметры теплоносителя'!$D$12</f>
        <v>#DIV/0!</v>
      </c>
      <c r="J12" s="262" t="e">
        <f>$D12*(('Параметры теплоносителя'!C26-'Параметры теплоносителя'!$C$13)/('Параметры теплоносителя'!C26-'Параметры теплоносителя'!$C$25))*'Параметры теплоносителя'!#REF!*'Параметры теплоносителя'!$D$13</f>
        <v>#VALUE!</v>
      </c>
      <c r="K12" s="262" t="e">
        <f>$D12*(('Параметры теплоносителя'!C26-'Параметры теплоносителя'!$C$14)/('Параметры теплоносителя'!C26-'Параметры теплоносителя'!$C$25))*'Параметры теплоносителя'!#REF!*'Параметры теплоносителя'!$D$14</f>
        <v>#DIV/0!</v>
      </c>
      <c r="L12" s="262" t="e">
        <f>$D12*(('Параметры теплоносителя'!C26-'Параметры теплоносителя'!$C$15)/('Параметры теплоносителя'!C26-'Параметры теплоносителя'!$C$25))*'Параметры теплоносителя'!#REF!*'Параметры теплоносителя'!$D$15</f>
        <v>#DIV/0!</v>
      </c>
      <c r="M12" s="262" t="e">
        <f>$D12*(('Параметры теплоносителя'!C26-'Параметры теплоносителя'!$C$16)/('Параметры теплоносителя'!C26-'Параметры теплоносителя'!$C$25))*'Параметры теплоносителя'!#REF!*'Параметры теплоносителя'!$D$16</f>
        <v>#DIV/0!</v>
      </c>
      <c r="N12" s="262" t="e">
        <f>$D12*(('Параметры теплоносителя'!C26-'Параметры теплоносителя'!$C$17)/('Параметры теплоносителя'!C26-'Параметры теплоносителя'!$C$25))*'Параметры теплоносителя'!#REF!*'Параметры теплоносителя'!$D$17</f>
        <v>#DIV/0!</v>
      </c>
      <c r="O12" s="262" t="e">
        <f>$D12*(('Параметры теплоносителя'!C26-'Параметры теплоносителя'!$C$18)/('Параметры теплоносителя'!C26-'Параметры теплоносителя'!$C$25))*'Параметры теплоносителя'!#REF!*'Параметры теплоносителя'!$D$18</f>
        <v>#DIV/0!</v>
      </c>
      <c r="P12" s="263" t="e">
        <f>$D12*(('Параметры теплоносителя'!C26-'Параметры теплоносителя'!$C$19)/('Параметры теплоносителя'!C26-'Параметры теплоносителя'!$C$25))*'Параметры теплоносителя'!#REF!*'Параметры теплоносителя'!$D$19</f>
        <v>#DIV/0!</v>
      </c>
      <c r="Q12" s="264" t="e">
        <f>SUM(E12:P12)</f>
        <v>#REF!</v>
      </c>
    </row>
    <row r="13" spans="1:17" s="258" customFormat="1" ht="16.5" customHeight="1" thickBot="1">
      <c r="A13" s="265">
        <v>3</v>
      </c>
      <c r="B13" s="266" t="s">
        <v>157</v>
      </c>
      <c r="C13" s="267" t="s">
        <v>19</v>
      </c>
      <c r="D13" s="366">
        <v>26</v>
      </c>
      <c r="E13" s="268">
        <f>$D13*24*31</f>
        <v>19344</v>
      </c>
      <c r="F13" s="269">
        <f>$D13*24*28</f>
        <v>17472</v>
      </c>
      <c r="G13" s="269">
        <f>$D13*24*31</f>
        <v>19344</v>
      </c>
      <c r="H13" s="269">
        <f>$D13*24*30</f>
        <v>18720</v>
      </c>
      <c r="I13" s="269">
        <f>$D13*24*31</f>
        <v>19344</v>
      </c>
      <c r="J13" s="269">
        <f>$D13*24*(30-5)</f>
        <v>15600</v>
      </c>
      <c r="K13" s="269">
        <f>$D13*24*(31-5)</f>
        <v>16224</v>
      </c>
      <c r="L13" s="269">
        <f>$D13*24*(31-5)</f>
        <v>16224</v>
      </c>
      <c r="M13" s="269">
        <f>$D13*24*30</f>
        <v>18720</v>
      </c>
      <c r="N13" s="269">
        <f>$D13*24*31</f>
        <v>19344</v>
      </c>
      <c r="O13" s="269">
        <f>$D13*24*30</f>
        <v>18720</v>
      </c>
      <c r="P13" s="270">
        <f>$D13*24*31</f>
        <v>19344</v>
      </c>
      <c r="Q13" s="271">
        <f>SUM(E13:P13)</f>
        <v>218400</v>
      </c>
    </row>
    <row r="14" spans="1:17" s="47" customFormat="1" ht="3.75" customHeight="1" thickBot="1">
      <c r="A14" s="236"/>
      <c r="B14" s="237"/>
      <c r="C14" s="139"/>
      <c r="D14" s="356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38"/>
    </row>
    <row r="15" spans="1:17" s="47" customFormat="1" ht="18.75" customHeight="1" thickBot="1">
      <c r="A15" s="676" t="s">
        <v>158</v>
      </c>
      <c r="B15" s="677"/>
      <c r="C15" s="677"/>
      <c r="D15" s="357">
        <f aca="true" t="shared" si="0" ref="D15:Q15">SUM(D11:D14)</f>
        <v>86</v>
      </c>
      <c r="E15" s="361" t="e">
        <f t="shared" si="0"/>
        <v>#REF!</v>
      </c>
      <c r="F15" s="362" t="e">
        <f t="shared" si="0"/>
        <v>#REF!</v>
      </c>
      <c r="G15" s="362" t="e">
        <f t="shared" si="0"/>
        <v>#DIV/0!</v>
      </c>
      <c r="H15" s="362" t="e">
        <f t="shared" si="0"/>
        <v>#DIV/0!</v>
      </c>
      <c r="I15" s="362" t="e">
        <f t="shared" si="0"/>
        <v>#DIV/0!</v>
      </c>
      <c r="J15" s="362" t="e">
        <f t="shared" si="0"/>
        <v>#VALUE!</v>
      </c>
      <c r="K15" s="362" t="e">
        <f t="shared" si="0"/>
        <v>#DIV/0!</v>
      </c>
      <c r="L15" s="362" t="e">
        <f t="shared" si="0"/>
        <v>#DIV/0!</v>
      </c>
      <c r="M15" s="362" t="e">
        <f t="shared" si="0"/>
        <v>#DIV/0!</v>
      </c>
      <c r="N15" s="362" t="e">
        <f t="shared" si="0"/>
        <v>#DIV/0!</v>
      </c>
      <c r="O15" s="362" t="e">
        <f t="shared" si="0"/>
        <v>#DIV/0!</v>
      </c>
      <c r="P15" s="363" t="e">
        <f t="shared" si="0"/>
        <v>#DIV/0!</v>
      </c>
      <c r="Q15" s="116" t="e">
        <f t="shared" si="0"/>
        <v>#REF!</v>
      </c>
    </row>
    <row r="16" spans="3:17" s="47" customFormat="1" ht="11.25">
      <c r="C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3:17" s="47" customFormat="1" ht="11.25">
      <c r="C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s="47" customFormat="1" ht="19.5" customHeight="1">
      <c r="A18" s="726" t="s">
        <v>203</v>
      </c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</row>
    <row r="19" spans="3:17" s="47" customFormat="1" ht="11.25">
      <c r="C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s="47" customFormat="1" ht="12" thickBot="1">
      <c r="C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s="58" customFormat="1" ht="82.5" customHeight="1">
      <c r="A21" s="50" t="s">
        <v>13</v>
      </c>
      <c r="B21" s="199" t="s">
        <v>154</v>
      </c>
      <c r="C21" s="52" t="s">
        <v>202</v>
      </c>
      <c r="D21" s="53" t="s">
        <v>133</v>
      </c>
      <c r="E21" s="54" t="s">
        <v>0</v>
      </c>
      <c r="F21" s="55" t="s">
        <v>1</v>
      </c>
      <c r="G21" s="55" t="s">
        <v>2</v>
      </c>
      <c r="H21" s="55" t="s">
        <v>3</v>
      </c>
      <c r="I21" s="55" t="s">
        <v>4</v>
      </c>
      <c r="J21" s="55" t="s">
        <v>5</v>
      </c>
      <c r="K21" s="55" t="s">
        <v>6</v>
      </c>
      <c r="L21" s="55" t="s">
        <v>7</v>
      </c>
      <c r="M21" s="55" t="s">
        <v>8</v>
      </c>
      <c r="N21" s="55" t="s">
        <v>9</v>
      </c>
      <c r="O21" s="55" t="s">
        <v>10</v>
      </c>
      <c r="P21" s="56" t="s">
        <v>11</v>
      </c>
      <c r="Q21" s="57" t="s">
        <v>16</v>
      </c>
    </row>
    <row r="22" spans="1:17" s="258" customFormat="1" ht="27" customHeight="1">
      <c r="A22" s="80">
        <v>1</v>
      </c>
      <c r="B22" s="259" t="s">
        <v>200</v>
      </c>
      <c r="C22" s="367">
        <v>100</v>
      </c>
      <c r="D22" s="352" t="s">
        <v>68</v>
      </c>
      <c r="E22" s="344">
        <f>'Расход тепла на паровые котлы'!$C$28*24*31*$C$22/100</f>
        <v>26040</v>
      </c>
      <c r="F22" s="348">
        <f>'Расход тепла на паровые котлы'!$C$28*24*28*$C$22/100</f>
        <v>23520</v>
      </c>
      <c r="G22" s="348">
        <f>'Расход тепла на паровые котлы'!$C$28*24*31*$C$22/100</f>
        <v>26040</v>
      </c>
      <c r="H22" s="348">
        <f>'Расход тепла на паровые котлы'!$C$28*24*30*$C$22/100</f>
        <v>25200</v>
      </c>
      <c r="I22" s="348">
        <f>'Расход тепла на паровые котлы'!$C$28*24*31*$C$22/100</f>
        <v>26040</v>
      </c>
      <c r="J22" s="348">
        <f>'Расход тепла на паровые котлы'!$C$28*24*30*$C$22/100</f>
        <v>25200</v>
      </c>
      <c r="K22" s="348">
        <f>'Расход тепла на паровые котлы'!$C$28*24*31*$C$22/100</f>
        <v>26040</v>
      </c>
      <c r="L22" s="348">
        <f>'Расход тепла на паровые котлы'!$C$28*24*31*$C$22/100</f>
        <v>26040</v>
      </c>
      <c r="M22" s="348">
        <f>'Расход тепла на паровые котлы'!$C$28*24*30*$C$22/100</f>
        <v>25200</v>
      </c>
      <c r="N22" s="348">
        <f>'Расход тепла на паровые котлы'!$C$28*24*31*$C$22/100</f>
        <v>26040</v>
      </c>
      <c r="O22" s="348">
        <f>'Расход тепла на паровые котлы'!$C$28*24*30*$C$22/100</f>
        <v>25200</v>
      </c>
      <c r="P22" s="349">
        <f>'Расход тепла на паровые котлы'!$C$28*24*31*$C$22/100</f>
        <v>26040</v>
      </c>
      <c r="Q22" s="350">
        <f>SUM(E22:P22)</f>
        <v>306600</v>
      </c>
    </row>
    <row r="23" spans="1:17" s="258" customFormat="1" ht="26.25" thickBot="1">
      <c r="A23" s="265">
        <v>2</v>
      </c>
      <c r="B23" s="266" t="s">
        <v>204</v>
      </c>
      <c r="C23" s="353"/>
      <c r="D23" s="354" t="s">
        <v>15</v>
      </c>
      <c r="E23" s="351">
        <f>E22*639/1000</f>
        <v>16639.56</v>
      </c>
      <c r="F23" s="358">
        <f aca="true" t="shared" si="1" ref="F23:P23">F22*639/1000</f>
        <v>15029.28</v>
      </c>
      <c r="G23" s="358">
        <f t="shared" si="1"/>
        <v>16639.56</v>
      </c>
      <c r="H23" s="358">
        <f t="shared" si="1"/>
        <v>16102.8</v>
      </c>
      <c r="I23" s="358">
        <f t="shared" si="1"/>
        <v>16639.56</v>
      </c>
      <c r="J23" s="358">
        <f t="shared" si="1"/>
        <v>16102.8</v>
      </c>
      <c r="K23" s="358">
        <f t="shared" si="1"/>
        <v>16639.56</v>
      </c>
      <c r="L23" s="358">
        <f t="shared" si="1"/>
        <v>16639.56</v>
      </c>
      <c r="M23" s="358">
        <f t="shared" si="1"/>
        <v>16102.8</v>
      </c>
      <c r="N23" s="358">
        <f t="shared" si="1"/>
        <v>16639.56</v>
      </c>
      <c r="O23" s="358">
        <f t="shared" si="1"/>
        <v>16102.8</v>
      </c>
      <c r="P23" s="359">
        <f t="shared" si="1"/>
        <v>16639.56</v>
      </c>
      <c r="Q23" s="360">
        <f>SUM(E23:P23)</f>
        <v>195917.4</v>
      </c>
    </row>
    <row r="24" spans="1:17" s="342" customFormat="1" ht="12" customHeight="1">
      <c r="A24" s="341"/>
      <c r="B24" s="341"/>
      <c r="C24" s="130"/>
      <c r="D24" s="341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341"/>
    </row>
    <row r="25" ht="13.5" thickBot="1"/>
    <row r="26" spans="1:17" ht="16.5" thickBot="1">
      <c r="A26" s="665" t="s">
        <v>129</v>
      </c>
      <c r="B26" s="725"/>
      <c r="C26" s="725"/>
      <c r="D26" s="666"/>
      <c r="E26" s="380" t="e">
        <f>E15+E23</f>
        <v>#REF!</v>
      </c>
      <c r="F26" s="381" t="e">
        <f aca="true" t="shared" si="2" ref="F26:Q26">F15+F23</f>
        <v>#REF!</v>
      </c>
      <c r="G26" s="381" t="e">
        <f t="shared" si="2"/>
        <v>#DIV/0!</v>
      </c>
      <c r="H26" s="381" t="e">
        <f t="shared" si="2"/>
        <v>#DIV/0!</v>
      </c>
      <c r="I26" s="381" t="e">
        <f t="shared" si="2"/>
        <v>#DIV/0!</v>
      </c>
      <c r="J26" s="381" t="e">
        <f t="shared" si="2"/>
        <v>#VALUE!</v>
      </c>
      <c r="K26" s="381" t="e">
        <f t="shared" si="2"/>
        <v>#DIV/0!</v>
      </c>
      <c r="L26" s="381" t="e">
        <f t="shared" si="2"/>
        <v>#DIV/0!</v>
      </c>
      <c r="M26" s="381" t="e">
        <f t="shared" si="2"/>
        <v>#DIV/0!</v>
      </c>
      <c r="N26" s="381" t="e">
        <f t="shared" si="2"/>
        <v>#DIV/0!</v>
      </c>
      <c r="O26" s="381" t="e">
        <f t="shared" si="2"/>
        <v>#DIV/0!</v>
      </c>
      <c r="P26" s="382" t="e">
        <f t="shared" si="2"/>
        <v>#DIV/0!</v>
      </c>
      <c r="Q26" s="379" t="e">
        <f t="shared" si="2"/>
        <v>#REF!</v>
      </c>
    </row>
  </sheetData>
  <sheetProtection sheet="1" objects="1" scenarios="1"/>
  <mergeCells count="11">
    <mergeCell ref="A2:C2"/>
    <mergeCell ref="A6:Q6"/>
    <mergeCell ref="A9:A10"/>
    <mergeCell ref="B9:B10"/>
    <mergeCell ref="E10:P10"/>
    <mergeCell ref="C9:C10"/>
    <mergeCell ref="D9:D10"/>
    <mergeCell ref="A26:D26"/>
    <mergeCell ref="A4:Q4"/>
    <mergeCell ref="A18:Q18"/>
    <mergeCell ref="A15:C15"/>
  </mergeCells>
  <hyperlinks>
    <hyperlink ref="A2" location="Оглавление!A1" display="Возврат в оглавление"/>
  </hyperlinks>
  <printOptions/>
  <pageMargins left="0.36" right="0.33" top="1" bottom="1" header="0.5" footer="0.5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zoomScale="70" zoomScaleNormal="70" workbookViewId="0" topLeftCell="A1">
      <selection activeCell="B2" sqref="B2:C2"/>
    </sheetView>
  </sheetViews>
  <sheetFormatPr defaultColWidth="9.140625" defaultRowHeight="12.75"/>
  <cols>
    <col min="1" max="1" width="5.00390625" style="310" customWidth="1"/>
    <col min="2" max="2" width="27.57421875" style="310" customWidth="1"/>
    <col min="3" max="14" width="13.7109375" style="310" customWidth="1"/>
    <col min="15" max="15" width="15.140625" style="310" customWidth="1"/>
    <col min="16" max="16384" width="9.140625" style="310" customWidth="1"/>
  </cols>
  <sheetData>
    <row r="1" ht="9" customHeight="1" thickBot="1"/>
    <row r="2" spans="2:4" ht="24" customHeight="1" thickBot="1" thickTop="1">
      <c r="B2" s="727" t="s">
        <v>190</v>
      </c>
      <c r="C2" s="728"/>
      <c r="D2" s="311"/>
    </row>
    <row r="3" ht="13.5" thickTop="1"/>
    <row r="5" spans="1:17" s="47" customFormat="1" ht="19.5" customHeight="1">
      <c r="A5" s="620" t="s">
        <v>198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</row>
    <row r="6" spans="3:17" s="47" customFormat="1" ht="11.25">
      <c r="C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3:17" s="47" customFormat="1" ht="12" thickBot="1">
      <c r="C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5" s="58" customFormat="1" ht="70.5" customHeight="1">
      <c r="A8" s="653" t="s">
        <v>13</v>
      </c>
      <c r="B8" s="723" t="s">
        <v>130</v>
      </c>
      <c r="C8" s="54" t="s">
        <v>0</v>
      </c>
      <c r="D8" s="55" t="s">
        <v>1</v>
      </c>
      <c r="E8" s="55" t="s">
        <v>2</v>
      </c>
      <c r="F8" s="55" t="s">
        <v>3</v>
      </c>
      <c r="G8" s="55" t="s">
        <v>4</v>
      </c>
      <c r="H8" s="55" t="s">
        <v>5</v>
      </c>
      <c r="I8" s="55" t="s">
        <v>6</v>
      </c>
      <c r="J8" s="55" t="s">
        <v>7</v>
      </c>
      <c r="K8" s="55" t="s">
        <v>8</v>
      </c>
      <c r="L8" s="55" t="s">
        <v>9</v>
      </c>
      <c r="M8" s="55" t="s">
        <v>10</v>
      </c>
      <c r="N8" s="56" t="s">
        <v>11</v>
      </c>
      <c r="O8" s="57" t="s">
        <v>16</v>
      </c>
    </row>
    <row r="9" spans="1:15" s="58" customFormat="1" ht="16.5" customHeight="1" thickBot="1">
      <c r="A9" s="654"/>
      <c r="B9" s="724"/>
      <c r="C9" s="658" t="s">
        <v>15</v>
      </c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9"/>
      <c r="O9" s="60" t="s">
        <v>15</v>
      </c>
    </row>
    <row r="10" spans="1:15" s="258" customFormat="1" ht="15" customHeight="1">
      <c r="A10" s="253">
        <v>1</v>
      </c>
      <c r="B10" s="422" t="s">
        <v>161</v>
      </c>
      <c r="C10" s="419" t="e">
        <f>'Полезный отпуск тепла'!E26</f>
        <v>#REF!</v>
      </c>
      <c r="D10" s="368" t="e">
        <f>'Полезный отпуск тепла'!F26</f>
        <v>#REF!</v>
      </c>
      <c r="E10" s="368" t="e">
        <f>'Полезный отпуск тепла'!G26</f>
        <v>#DIV/0!</v>
      </c>
      <c r="F10" s="368" t="e">
        <f>'Полезный отпуск тепла'!H26</f>
        <v>#DIV/0!</v>
      </c>
      <c r="G10" s="368" t="e">
        <f>'Полезный отпуск тепла'!I26</f>
        <v>#DIV/0!</v>
      </c>
      <c r="H10" s="368" t="e">
        <f>'Полезный отпуск тепла'!J26</f>
        <v>#VALUE!</v>
      </c>
      <c r="I10" s="368" t="e">
        <f>'Полезный отпуск тепла'!K26</f>
        <v>#DIV/0!</v>
      </c>
      <c r="J10" s="368" t="e">
        <f>'Полезный отпуск тепла'!L26</f>
        <v>#DIV/0!</v>
      </c>
      <c r="K10" s="368" t="e">
        <f>'Полезный отпуск тепла'!M26</f>
        <v>#DIV/0!</v>
      </c>
      <c r="L10" s="368" t="e">
        <f>'Полезный отпуск тепла'!N26</f>
        <v>#DIV/0!</v>
      </c>
      <c r="M10" s="368" t="e">
        <f>'Полезный отпуск тепла'!O26</f>
        <v>#DIV/0!</v>
      </c>
      <c r="N10" s="369" t="e">
        <f>'Полезный отпуск тепла'!P26</f>
        <v>#DIV/0!</v>
      </c>
      <c r="O10" s="370" t="e">
        <f>SUM(C10:N10)</f>
        <v>#REF!</v>
      </c>
    </row>
    <row r="11" spans="1:15" s="258" customFormat="1" ht="33" customHeight="1">
      <c r="A11" s="80">
        <v>2</v>
      </c>
      <c r="B11" s="423" t="s">
        <v>187</v>
      </c>
      <c r="C11" s="420" t="e">
        <f>'Сумм. расход тепла в котельной'!C17</f>
        <v>#REF!</v>
      </c>
      <c r="D11" s="345" t="e">
        <f>'Сумм. расход тепла в котельной'!D17</f>
        <v>#REF!</v>
      </c>
      <c r="E11" s="345" t="e">
        <f>'Сумм. расход тепла в котельной'!E17</f>
        <v>#DIV/0!</v>
      </c>
      <c r="F11" s="345" t="e">
        <f>'Сумм. расход тепла в котельной'!F17</f>
        <v>#DIV/0!</v>
      </c>
      <c r="G11" s="345" t="e">
        <f>'Сумм. расход тепла в котельной'!G17</f>
        <v>#DIV/0!</v>
      </c>
      <c r="H11" s="345" t="e">
        <f>'Сумм. расход тепла в котельной'!H17</f>
        <v>#VALUE!</v>
      </c>
      <c r="I11" s="345" t="e">
        <f>'Сумм. расход тепла в котельной'!I17</f>
        <v>#DIV/0!</v>
      </c>
      <c r="J11" s="345" t="e">
        <f>'Сумм. расход тепла в котельной'!J17</f>
        <v>#DIV/0!</v>
      </c>
      <c r="K11" s="345" t="e">
        <f>'Сумм. расход тепла в котельной'!K17</f>
        <v>#DIV/0!</v>
      </c>
      <c r="L11" s="345" t="e">
        <f>'Сумм. расход тепла в котельной'!L17</f>
        <v>#DIV/0!</v>
      </c>
      <c r="M11" s="345" t="e">
        <f>'Сумм. расход тепла в котельной'!M17</f>
        <v>#DIV/0!</v>
      </c>
      <c r="N11" s="346" t="e">
        <f>'Сумм. расход тепла в котельной'!N17</f>
        <v>#DIV/0!</v>
      </c>
      <c r="O11" s="347" t="e">
        <f>SUM(C11:N11)</f>
        <v>#REF!</v>
      </c>
    </row>
    <row r="12" spans="1:15" s="258" customFormat="1" ht="19.5" customHeight="1" thickBot="1">
      <c r="A12" s="265">
        <v>3</v>
      </c>
      <c r="B12" s="424" t="s">
        <v>186</v>
      </c>
      <c r="C12" s="421" t="e">
        <f>C10*0.04</f>
        <v>#REF!</v>
      </c>
      <c r="D12" s="371" t="e">
        <f aca="true" t="shared" si="0" ref="D12:N12">D10*0.04</f>
        <v>#REF!</v>
      </c>
      <c r="E12" s="371" t="e">
        <f t="shared" si="0"/>
        <v>#DIV/0!</v>
      </c>
      <c r="F12" s="371" t="e">
        <f t="shared" si="0"/>
        <v>#DIV/0!</v>
      </c>
      <c r="G12" s="371" t="e">
        <f t="shared" si="0"/>
        <v>#DIV/0!</v>
      </c>
      <c r="H12" s="371" t="e">
        <f t="shared" si="0"/>
        <v>#VALUE!</v>
      </c>
      <c r="I12" s="371" t="e">
        <f t="shared" si="0"/>
        <v>#DIV/0!</v>
      </c>
      <c r="J12" s="371" t="e">
        <f t="shared" si="0"/>
        <v>#DIV/0!</v>
      </c>
      <c r="K12" s="371" t="e">
        <f t="shared" si="0"/>
        <v>#DIV/0!</v>
      </c>
      <c r="L12" s="371" t="e">
        <f t="shared" si="0"/>
        <v>#DIV/0!</v>
      </c>
      <c r="M12" s="371" t="e">
        <f t="shared" si="0"/>
        <v>#DIV/0!</v>
      </c>
      <c r="N12" s="372" t="e">
        <f t="shared" si="0"/>
        <v>#DIV/0!</v>
      </c>
      <c r="O12" s="360" t="e">
        <f>SUM(C12:N12)</f>
        <v>#REF!</v>
      </c>
    </row>
    <row r="13" spans="1:15" s="47" customFormat="1" ht="3.75" customHeight="1" thickBot="1">
      <c r="A13" s="236"/>
      <c r="B13" s="237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/>
    </row>
    <row r="14" spans="1:15" s="47" customFormat="1" ht="18.75" customHeight="1" thickBot="1">
      <c r="A14" s="676" t="s">
        <v>158</v>
      </c>
      <c r="B14" s="732"/>
      <c r="C14" s="362" t="e">
        <f aca="true" t="shared" si="1" ref="C14:O14">SUM(C10:C13)</f>
        <v>#REF!</v>
      </c>
      <c r="D14" s="362" t="e">
        <f t="shared" si="1"/>
        <v>#REF!</v>
      </c>
      <c r="E14" s="362" t="e">
        <f t="shared" si="1"/>
        <v>#DIV/0!</v>
      </c>
      <c r="F14" s="362" t="e">
        <f t="shared" si="1"/>
        <v>#DIV/0!</v>
      </c>
      <c r="G14" s="362" t="e">
        <f t="shared" si="1"/>
        <v>#DIV/0!</v>
      </c>
      <c r="H14" s="362" t="e">
        <f t="shared" si="1"/>
        <v>#VALUE!</v>
      </c>
      <c r="I14" s="362" t="e">
        <f t="shared" si="1"/>
        <v>#DIV/0!</v>
      </c>
      <c r="J14" s="362" t="e">
        <f t="shared" si="1"/>
        <v>#DIV/0!</v>
      </c>
      <c r="K14" s="362" t="e">
        <f t="shared" si="1"/>
        <v>#DIV/0!</v>
      </c>
      <c r="L14" s="362" t="e">
        <f t="shared" si="1"/>
        <v>#DIV/0!</v>
      </c>
      <c r="M14" s="362" t="e">
        <f t="shared" si="1"/>
        <v>#DIV/0!</v>
      </c>
      <c r="N14" s="363" t="e">
        <f t="shared" si="1"/>
        <v>#DIV/0!</v>
      </c>
      <c r="O14" s="247" t="e">
        <f t="shared" si="1"/>
        <v>#REF!</v>
      </c>
    </row>
    <row r="15" s="73" customFormat="1" ht="12.75"/>
  </sheetData>
  <sheetProtection sheet="1" objects="1" scenarios="1"/>
  <mergeCells count="6">
    <mergeCell ref="A14:B14"/>
    <mergeCell ref="B2:C2"/>
    <mergeCell ref="A5:Q5"/>
    <mergeCell ref="A8:A9"/>
    <mergeCell ref="B8:B9"/>
    <mergeCell ref="C9:N9"/>
  </mergeCells>
  <hyperlinks>
    <hyperlink ref="B2" location="Оглавление!A1" display="Возврат в оглавление"/>
  </hyperlinks>
  <printOptions/>
  <pageMargins left="0.53" right="0.27" top="1" bottom="1" header="0.5" footer="0.5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8"/>
  <sheetViews>
    <sheetView showGridLines="0" zoomScale="90" zoomScaleNormal="90" workbookViewId="0" topLeftCell="A1">
      <selection activeCell="A2" sqref="A2:B2"/>
    </sheetView>
  </sheetViews>
  <sheetFormatPr defaultColWidth="9.140625" defaultRowHeight="12.75"/>
  <cols>
    <col min="1" max="1" width="5.8515625" style="73" customWidth="1"/>
    <col min="2" max="2" width="26.140625" style="73" customWidth="1"/>
    <col min="3" max="3" width="15.28125" style="73" customWidth="1"/>
    <col min="4" max="4" width="29.57421875" style="73" customWidth="1"/>
    <col min="5" max="16384" width="9.140625" style="73" customWidth="1"/>
  </cols>
  <sheetData>
    <row r="1" ht="9" customHeight="1" thickBot="1"/>
    <row r="2" spans="1:3" ht="21" customHeight="1" thickBot="1" thickTop="1">
      <c r="A2" s="727" t="s">
        <v>190</v>
      </c>
      <c r="B2" s="728"/>
      <c r="C2" s="311"/>
    </row>
    <row r="3" ht="13.5" thickTop="1"/>
    <row r="4" spans="1:4" ht="18.75">
      <c r="A4" s="620" t="s">
        <v>181</v>
      </c>
      <c r="B4" s="620"/>
      <c r="C4" s="620"/>
      <c r="D4" s="620"/>
    </row>
    <row r="6" spans="1:4" ht="12.75" customHeight="1">
      <c r="A6" s="652" t="s">
        <v>182</v>
      </c>
      <c r="B6" s="652"/>
      <c r="C6" s="652"/>
      <c r="D6" s="652"/>
    </row>
    <row r="7" ht="13.5" thickBot="1"/>
    <row r="8" spans="1:4" ht="25.5">
      <c r="A8" s="653" t="s">
        <v>13</v>
      </c>
      <c r="B8" s="655" t="s">
        <v>18</v>
      </c>
      <c r="C8" s="51" t="s">
        <v>152</v>
      </c>
      <c r="D8" s="53" t="s">
        <v>26</v>
      </c>
    </row>
    <row r="9" spans="1:4" ht="13.5" customHeight="1" thickBot="1">
      <c r="A9" s="654"/>
      <c r="B9" s="656"/>
      <c r="C9" s="74" t="s">
        <v>141</v>
      </c>
      <c r="D9" s="59" t="s">
        <v>19</v>
      </c>
    </row>
    <row r="10" spans="1:4" ht="12.75">
      <c r="A10" s="100">
        <v>1</v>
      </c>
      <c r="B10" s="313" t="str">
        <f>'Расход тепла на растопку'!B9</f>
        <v>ДКВР-20</v>
      </c>
      <c r="C10" s="232">
        <v>80</v>
      </c>
      <c r="D10" s="314">
        <f>'Расход тепла на растопку'!C9</f>
        <v>20</v>
      </c>
    </row>
    <row r="11" spans="1:4" ht="12.75">
      <c r="A11" s="61">
        <f>A10+1</f>
        <v>2</v>
      </c>
      <c r="B11" s="313" t="str">
        <f>'Расход тепла на растопку'!B10</f>
        <v>ДЕ-25</v>
      </c>
      <c r="C11" s="233">
        <v>80</v>
      </c>
      <c r="D11" s="314">
        <f>'Расход тепла на растопку'!C10</f>
        <v>25</v>
      </c>
    </row>
    <row r="12" spans="1:4" ht="12.75">
      <c r="A12" s="61">
        <f>A11+1</f>
        <v>3</v>
      </c>
      <c r="B12" s="313">
        <f>'Расход тепла на растопку'!B11</f>
        <v>0</v>
      </c>
      <c r="C12" s="233"/>
      <c r="D12" s="314">
        <f>'Расход тепла на растопку'!C11</f>
        <v>0</v>
      </c>
    </row>
    <row r="13" spans="1:4" ht="12.75">
      <c r="A13" s="61">
        <f>A12+1</f>
        <v>4</v>
      </c>
      <c r="B13" s="313">
        <f>'Расход тепла на растопку'!B12</f>
        <v>0</v>
      </c>
      <c r="C13" s="233"/>
      <c r="D13" s="314">
        <f>'Расход тепла на растопку'!C12</f>
        <v>0</v>
      </c>
    </row>
    <row r="14" spans="1:4" ht="13.5" thickBot="1">
      <c r="A14" s="105">
        <f>A13+1</f>
        <v>5</v>
      </c>
      <c r="B14" s="315">
        <f>'Расход тепла на растопку'!B13</f>
        <v>0</v>
      </c>
      <c r="C14" s="234"/>
      <c r="D14" s="316">
        <f>'Расход тепла на растопку'!C13</f>
        <v>0</v>
      </c>
    </row>
    <row r="15" spans="1:4" ht="4.5" customHeight="1" thickBot="1">
      <c r="A15" s="83"/>
      <c r="B15" s="84"/>
      <c r="C15" s="84"/>
      <c r="D15" s="85"/>
    </row>
    <row r="16" spans="1:4" ht="13.5" thickBot="1">
      <c r="A16" s="734" t="s">
        <v>172</v>
      </c>
      <c r="B16" s="670"/>
      <c r="C16" s="317">
        <f>IF(D16=0,"",(C10*D10+C11*D11+C12*D12+C13*D13+C14*D14)/(D10+D11+D12+D13+D14))</f>
        <v>80</v>
      </c>
      <c r="D16" s="318">
        <f>SUM(D5:D14)</f>
        <v>45</v>
      </c>
    </row>
    <row r="17" spans="1:4" ht="12.75">
      <c r="A17" s="319"/>
      <c r="B17" s="320"/>
      <c r="C17" s="320"/>
      <c r="D17" s="320"/>
    </row>
    <row r="18" spans="1:4" ht="15.75" customHeight="1">
      <c r="A18" s="652" t="s">
        <v>183</v>
      </c>
      <c r="B18" s="652"/>
      <c r="C18" s="652"/>
      <c r="D18" s="652"/>
    </row>
    <row r="19" ht="13.5" thickBot="1"/>
    <row r="20" spans="1:4" ht="25.5">
      <c r="A20" s="653" t="s">
        <v>13</v>
      </c>
      <c r="B20" s="655" t="s">
        <v>18</v>
      </c>
      <c r="C20" s="51" t="s">
        <v>152</v>
      </c>
      <c r="D20" s="53" t="s">
        <v>26</v>
      </c>
    </row>
    <row r="21" spans="1:4" ht="13.5" customHeight="1" thickBot="1">
      <c r="A21" s="654"/>
      <c r="B21" s="656"/>
      <c r="C21" s="74" t="s">
        <v>141</v>
      </c>
      <c r="D21" s="59" t="s">
        <v>19</v>
      </c>
    </row>
    <row r="22" spans="1:4" ht="12.75">
      <c r="A22" s="100">
        <v>1</v>
      </c>
      <c r="B22" s="313" t="str">
        <f>'Расход тепла на растопку'!B23</f>
        <v>КВГМ-50</v>
      </c>
      <c r="C22" s="232">
        <v>80</v>
      </c>
      <c r="D22" s="314">
        <f>'Расход тепла на растопку'!C23</f>
        <v>50</v>
      </c>
    </row>
    <row r="23" spans="1:4" ht="12.75">
      <c r="A23" s="61">
        <f>A22+1</f>
        <v>2</v>
      </c>
      <c r="B23" s="313" t="str">
        <f>'Расход тепла на растопку'!B24</f>
        <v>КВГМ-10</v>
      </c>
      <c r="C23" s="233">
        <v>85</v>
      </c>
      <c r="D23" s="314">
        <f>'Расход тепла на растопку'!C24</f>
        <v>10</v>
      </c>
    </row>
    <row r="24" spans="1:4" ht="12.75">
      <c r="A24" s="61">
        <f aca="true" t="shared" si="0" ref="A24:A31">A23+1</f>
        <v>3</v>
      </c>
      <c r="B24" s="313" t="str">
        <f>'Расход тепла на растопку'!B25</f>
        <v>ТВГ-4</v>
      </c>
      <c r="C24" s="233">
        <v>92</v>
      </c>
      <c r="D24" s="314">
        <f>'Расход тепла на растопку'!C25</f>
        <v>4</v>
      </c>
    </row>
    <row r="25" spans="1:4" ht="12.75">
      <c r="A25" s="61">
        <f t="shared" si="0"/>
        <v>4</v>
      </c>
      <c r="B25" s="313">
        <f>'Расход тепла на растопку'!B26</f>
        <v>0</v>
      </c>
      <c r="C25" s="233"/>
      <c r="D25" s="314">
        <f>'Расход тепла на растопку'!C26</f>
        <v>0</v>
      </c>
    </row>
    <row r="26" spans="1:4" ht="12.75">
      <c r="A26" s="61">
        <f t="shared" si="0"/>
        <v>5</v>
      </c>
      <c r="B26" s="313">
        <f>'Расход тепла на растопку'!B27</f>
        <v>0</v>
      </c>
      <c r="C26" s="233"/>
      <c r="D26" s="314">
        <f>'Расход тепла на растопку'!C27</f>
        <v>0</v>
      </c>
    </row>
    <row r="27" spans="1:4" ht="12.75">
      <c r="A27" s="61">
        <f t="shared" si="0"/>
        <v>6</v>
      </c>
      <c r="B27" s="313">
        <f>'Расход тепла на растопку'!B28</f>
        <v>0</v>
      </c>
      <c r="C27" s="233"/>
      <c r="D27" s="314">
        <f>'Расход тепла на растопку'!C28</f>
        <v>0</v>
      </c>
    </row>
    <row r="28" spans="1:4" ht="12.75">
      <c r="A28" s="61">
        <f t="shared" si="0"/>
        <v>7</v>
      </c>
      <c r="B28" s="313">
        <f>'Расход тепла на растопку'!B29</f>
        <v>0</v>
      </c>
      <c r="C28" s="233"/>
      <c r="D28" s="314">
        <f>'Расход тепла на растопку'!C29</f>
        <v>0</v>
      </c>
    </row>
    <row r="29" spans="1:4" ht="12.75">
      <c r="A29" s="61">
        <f t="shared" si="0"/>
        <v>8</v>
      </c>
      <c r="B29" s="313">
        <f>'Расход тепла на растопку'!B30</f>
        <v>0</v>
      </c>
      <c r="C29" s="233"/>
      <c r="D29" s="314">
        <f>'Расход тепла на растопку'!C30</f>
        <v>0</v>
      </c>
    </row>
    <row r="30" spans="1:4" ht="12.75">
      <c r="A30" s="61">
        <f t="shared" si="0"/>
        <v>9</v>
      </c>
      <c r="B30" s="313">
        <f>'Расход тепла на растопку'!B31</f>
        <v>0</v>
      </c>
      <c r="C30" s="233"/>
      <c r="D30" s="314">
        <f>'Расход тепла на растопку'!C31</f>
        <v>0</v>
      </c>
    </row>
    <row r="31" spans="1:4" ht="13.5" thickBot="1">
      <c r="A31" s="321">
        <f t="shared" si="0"/>
        <v>10</v>
      </c>
      <c r="B31" s="315">
        <f>'Расход тепла на растопку'!B32</f>
        <v>0</v>
      </c>
      <c r="C31" s="439"/>
      <c r="D31" s="316">
        <f>'Расход тепла на растопку'!C32</f>
        <v>0</v>
      </c>
    </row>
    <row r="32" spans="1:4" ht="4.5" customHeight="1" thickBot="1">
      <c r="A32" s="83"/>
      <c r="B32" s="84"/>
      <c r="C32" s="84"/>
      <c r="D32" s="85"/>
    </row>
    <row r="33" spans="1:4" ht="13.5" thickBot="1">
      <c r="A33" s="734" t="s">
        <v>172</v>
      </c>
      <c r="B33" s="670"/>
      <c r="C33" s="317">
        <f>IF(D33=0,"",(C22*D22+C23*D23+C24*D24+C25*D25+C26*D26+C27*D27+C28*D28+C29*D29+C30*D30+C31*D31)/(D22+D23+D24+D25+D26+D27+D28+D29+D30+D31))</f>
        <v>81.53125</v>
      </c>
      <c r="D33" s="318">
        <f>SUM(D22:D31)</f>
        <v>64</v>
      </c>
    </row>
    <row r="34" ht="13.5" thickBot="1">
      <c r="C34" s="322"/>
    </row>
    <row r="35" spans="1:4" ht="16.5" thickBot="1">
      <c r="A35" s="733" t="s">
        <v>184</v>
      </c>
      <c r="B35" s="733"/>
      <c r="C35" s="733"/>
      <c r="D35" s="323">
        <f>IF(D16=0,C33,IF(D33=0,C16,(C16*D16+C33*D33)/(D16+D33)))</f>
        <v>80.89908256880734</v>
      </c>
    </row>
    <row r="38" ht="12.75">
      <c r="C38" s="324"/>
    </row>
  </sheetData>
  <sheetProtection sheet="1" objects="1" scenarios="1"/>
  <mergeCells count="11">
    <mergeCell ref="A2:B2"/>
    <mergeCell ref="A20:A21"/>
    <mergeCell ref="B20:B21"/>
    <mergeCell ref="A33:B33"/>
    <mergeCell ref="A16:B16"/>
    <mergeCell ref="A35:C35"/>
    <mergeCell ref="A4:D4"/>
    <mergeCell ref="A6:D6"/>
    <mergeCell ref="A18:D18"/>
    <mergeCell ref="A8:A9"/>
    <mergeCell ref="B8:B9"/>
  </mergeCells>
  <hyperlinks>
    <hyperlink ref="A2" location="Оглавление!A1" display="Возврат в оглавление"/>
  </hyperlinks>
  <printOptions/>
  <pageMargins left="1.03" right="0.4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showGridLines="0" zoomScale="78" zoomScaleNormal="78" workbookViewId="0" topLeftCell="A1">
      <selection activeCell="A2" sqref="A2:C2"/>
    </sheetView>
  </sheetViews>
  <sheetFormatPr defaultColWidth="9.140625" defaultRowHeight="12.75"/>
  <cols>
    <col min="1" max="1" width="4.8515625" style="73" customWidth="1"/>
    <col min="2" max="2" width="19.8515625" style="73" customWidth="1"/>
    <col min="3" max="3" width="8.7109375" style="73" customWidth="1"/>
    <col min="4" max="15" width="10.7109375" style="73" customWidth="1"/>
    <col min="16" max="16" width="13.7109375" style="73" customWidth="1"/>
    <col min="17" max="16384" width="9.140625" style="73" customWidth="1"/>
  </cols>
  <sheetData>
    <row r="1" ht="13.5" thickBot="1"/>
    <row r="2" spans="1:3" ht="24" customHeight="1" thickBot="1" thickTop="1">
      <c r="A2" s="727" t="s">
        <v>190</v>
      </c>
      <c r="B2" s="728"/>
      <c r="C2" s="729"/>
    </row>
    <row r="3" ht="13.5" thickTop="1"/>
    <row r="4" spans="1:18" s="47" customFormat="1" ht="19.5" customHeight="1">
      <c r="A4" s="620" t="s">
        <v>174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6"/>
      <c r="R4" s="66"/>
    </row>
    <row r="5" spans="1:18" s="47" customFormat="1" ht="12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4:18" s="47" customFormat="1" ht="12" thickBot="1">
      <c r="D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6" s="58" customFormat="1" ht="70.5" customHeight="1" thickBot="1">
      <c r="A7" s="50" t="s">
        <v>13</v>
      </c>
      <c r="B7" s="51" t="s">
        <v>130</v>
      </c>
      <c r="C7" s="53" t="s">
        <v>133</v>
      </c>
      <c r="D7" s="54" t="s">
        <v>0</v>
      </c>
      <c r="E7" s="55" t="s">
        <v>1</v>
      </c>
      <c r="F7" s="55" t="s">
        <v>2</v>
      </c>
      <c r="G7" s="55" t="s">
        <v>3</v>
      </c>
      <c r="H7" s="55" t="s">
        <v>4</v>
      </c>
      <c r="I7" s="55" t="s">
        <v>5</v>
      </c>
      <c r="J7" s="55" t="s">
        <v>6</v>
      </c>
      <c r="K7" s="55" t="s">
        <v>7</v>
      </c>
      <c r="L7" s="55" t="s">
        <v>8</v>
      </c>
      <c r="M7" s="55" t="s">
        <v>9</v>
      </c>
      <c r="N7" s="55" t="s">
        <v>10</v>
      </c>
      <c r="O7" s="56" t="s">
        <v>11</v>
      </c>
      <c r="P7" s="57" t="s">
        <v>16</v>
      </c>
    </row>
    <row r="8" spans="1:16" s="258" customFormat="1" ht="15.75" customHeight="1">
      <c r="A8" s="253">
        <v>1</v>
      </c>
      <c r="B8" s="312" t="s">
        <v>167</v>
      </c>
      <c r="C8" s="426" t="s">
        <v>143</v>
      </c>
      <c r="D8" s="419" t="e">
        <f>142.86*100/'Общие характеристики котельной'!$D$29*'Выработка и отпуск тепла'!C14/1000</f>
        <v>#REF!</v>
      </c>
      <c r="E8" s="368" t="e">
        <f>142.86*100/'Общие характеристики котельной'!$D$29*'Выработка и отпуск тепла'!D14/1000</f>
        <v>#REF!</v>
      </c>
      <c r="F8" s="368" t="e">
        <f>142.86*100/'Общие характеристики котельной'!$D$29*'Выработка и отпуск тепла'!E14/1000</f>
        <v>#REF!</v>
      </c>
      <c r="G8" s="368" t="e">
        <f>142.86*100/'Общие характеристики котельной'!$D$29*'Выработка и отпуск тепла'!F14/1000</f>
        <v>#REF!</v>
      </c>
      <c r="H8" s="368" t="e">
        <f>142.86*100/'Общие характеристики котельной'!$D$29*'Выработка и отпуск тепла'!G14/1000</f>
        <v>#REF!</v>
      </c>
      <c r="I8" s="368" t="e">
        <f>142.86*100/'Общие характеристики котельной'!$D$29*'Выработка и отпуск тепла'!H14/1000</f>
        <v>#REF!</v>
      </c>
      <c r="J8" s="368" t="e">
        <f>142.86*100/'Общие характеристики котельной'!$D$29*'Выработка и отпуск тепла'!I14/1000</f>
        <v>#REF!</v>
      </c>
      <c r="K8" s="368" t="e">
        <f>142.86*100/'Общие характеристики котельной'!$D$29*'Выработка и отпуск тепла'!J14/1000</f>
        <v>#REF!</v>
      </c>
      <c r="L8" s="368" t="e">
        <f>142.86*100/'Общие характеристики котельной'!$D$29*'Выработка и отпуск тепла'!K14/1000</f>
        <v>#REF!</v>
      </c>
      <c r="M8" s="368" t="e">
        <f>142.86*100/'Общие характеристики котельной'!$D$29*'Выработка и отпуск тепла'!L14/1000</f>
        <v>#REF!</v>
      </c>
      <c r="N8" s="368" t="e">
        <f>142.86*100/'Общие характеристики котельной'!$D$29*'Выработка и отпуск тепла'!M14/1000</f>
        <v>#REF!</v>
      </c>
      <c r="O8" s="369" t="e">
        <f>142.86*100/'Общие характеристики котельной'!$D$29*'Выработка и отпуск тепла'!N14/1000</f>
        <v>#REF!</v>
      </c>
      <c r="P8" s="375" t="e">
        <f>SUM(D8:O8)</f>
        <v>#REF!</v>
      </c>
    </row>
    <row r="9" spans="1:16" s="258" customFormat="1" ht="16.5" customHeight="1" thickBot="1">
      <c r="A9" s="82">
        <v>2</v>
      </c>
      <c r="B9" s="287" t="s">
        <v>168</v>
      </c>
      <c r="C9" s="427" t="str">
        <f>IF(C13=1,"тыс. нм3","т")</f>
        <v>тыс. нм3</v>
      </c>
      <c r="D9" s="425" t="e">
        <f>D8/(IF($C$13=1,$H$13,IF(C14=1,$H$14,$H$15))/7000)</f>
        <v>#REF!</v>
      </c>
      <c r="E9" s="376" t="e">
        <f aca="true" t="shared" si="0" ref="E9:O9">E8/(IF($C$13=1,$H$13,IF(D14=1,$H$14,$H$15))/7000)</f>
        <v>#REF!</v>
      </c>
      <c r="F9" s="376" t="e">
        <f t="shared" si="0"/>
        <v>#REF!</v>
      </c>
      <c r="G9" s="376" t="e">
        <f t="shared" si="0"/>
        <v>#REF!</v>
      </c>
      <c r="H9" s="376" t="e">
        <f t="shared" si="0"/>
        <v>#REF!</v>
      </c>
      <c r="I9" s="376" t="e">
        <f t="shared" si="0"/>
        <v>#REF!</v>
      </c>
      <c r="J9" s="376" t="e">
        <f t="shared" si="0"/>
        <v>#REF!</v>
      </c>
      <c r="K9" s="376" t="e">
        <f t="shared" si="0"/>
        <v>#REF!</v>
      </c>
      <c r="L9" s="376" t="e">
        <f t="shared" si="0"/>
        <v>#REF!</v>
      </c>
      <c r="M9" s="376" t="e">
        <f t="shared" si="0"/>
        <v>#REF!</v>
      </c>
      <c r="N9" s="376" t="e">
        <f t="shared" si="0"/>
        <v>#REF!</v>
      </c>
      <c r="O9" s="377" t="e">
        <f t="shared" si="0"/>
        <v>#REF!</v>
      </c>
      <c r="P9" s="378" t="e">
        <f>SUM(D9:O9)</f>
        <v>#REF!</v>
      </c>
    </row>
    <row r="11" ht="13.5" thickBot="1"/>
    <row r="12" spans="2:10" s="325" customFormat="1" ht="52.5" customHeight="1" thickBot="1">
      <c r="B12" s="326" t="s">
        <v>169</v>
      </c>
      <c r="C12" s="750" t="s">
        <v>178</v>
      </c>
      <c r="D12" s="751"/>
      <c r="F12" s="739" t="s">
        <v>179</v>
      </c>
      <c r="G12" s="740"/>
      <c r="H12" s="738" t="s">
        <v>176</v>
      </c>
      <c r="I12" s="738"/>
      <c r="J12" s="327" t="s">
        <v>133</v>
      </c>
    </row>
    <row r="13" spans="2:10" ht="15.75">
      <c r="B13" s="334" t="s">
        <v>170</v>
      </c>
      <c r="C13" s="752">
        <v>1</v>
      </c>
      <c r="D13" s="753"/>
      <c r="F13" s="741" t="str">
        <f>B13</f>
        <v>Природный газ</v>
      </c>
      <c r="G13" s="742"/>
      <c r="H13" s="737">
        <v>8500</v>
      </c>
      <c r="I13" s="737"/>
      <c r="J13" s="328" t="s">
        <v>195</v>
      </c>
    </row>
    <row r="14" spans="2:10" ht="12.75">
      <c r="B14" s="335" t="s">
        <v>171</v>
      </c>
      <c r="C14" s="754"/>
      <c r="D14" s="755"/>
      <c r="F14" s="735" t="str">
        <f>B14</f>
        <v>Уголь</v>
      </c>
      <c r="G14" s="736"/>
      <c r="H14" s="744">
        <v>6430</v>
      </c>
      <c r="I14" s="744"/>
      <c r="J14" s="329" t="s">
        <v>175</v>
      </c>
    </row>
    <row r="15" spans="2:10" ht="13.5" thickBot="1">
      <c r="B15" s="336" t="s">
        <v>177</v>
      </c>
      <c r="C15" s="748"/>
      <c r="D15" s="749"/>
      <c r="F15" s="745" t="str">
        <f>B15</f>
        <v>Мазут</v>
      </c>
      <c r="G15" s="746"/>
      <c r="H15" s="747">
        <v>9500</v>
      </c>
      <c r="I15" s="747"/>
      <c r="J15" s="330" t="s">
        <v>175</v>
      </c>
    </row>
    <row r="16" s="331" customFormat="1" ht="12.75"/>
    <row r="17" spans="2:10" s="79" customFormat="1" ht="24.75" customHeight="1">
      <c r="B17" s="743">
        <f>IF((C13+C14+C15)&gt;1,"ВНИМАНИЕ ОШИБКА: Одновременно выбрано два типа топлива, необходимо выбрать один тип","")</f>
      </c>
      <c r="C17" s="743"/>
      <c r="D17" s="743"/>
      <c r="E17" s="743"/>
      <c r="F17" s="743"/>
      <c r="G17" s="743"/>
      <c r="H17" s="743"/>
      <c r="I17" s="743"/>
      <c r="J17" s="743"/>
    </row>
    <row r="18" spans="2:10" s="331" customFormat="1" ht="12.75">
      <c r="B18" s="332"/>
      <c r="C18" s="332"/>
      <c r="D18" s="332"/>
      <c r="E18" s="332"/>
      <c r="F18" s="332"/>
      <c r="G18" s="332"/>
      <c r="H18" s="332"/>
      <c r="I18" s="332"/>
      <c r="J18" s="332"/>
    </row>
    <row r="19" ht="12.75">
      <c r="C19" s="333"/>
    </row>
  </sheetData>
  <sheetProtection sheet="1" objects="1" scenarios="1"/>
  <mergeCells count="15">
    <mergeCell ref="B17:J17"/>
    <mergeCell ref="A2:C2"/>
    <mergeCell ref="A4:P4"/>
    <mergeCell ref="H14:I14"/>
    <mergeCell ref="F15:G15"/>
    <mergeCell ref="H15:I15"/>
    <mergeCell ref="C15:D15"/>
    <mergeCell ref="C12:D12"/>
    <mergeCell ref="C13:D13"/>
    <mergeCell ref="C14:D14"/>
    <mergeCell ref="F14:G14"/>
    <mergeCell ref="H13:I13"/>
    <mergeCell ref="H12:I12"/>
    <mergeCell ref="F12:G12"/>
    <mergeCell ref="F13:G13"/>
  </mergeCells>
  <hyperlinks>
    <hyperlink ref="A2" location="Оглавление!A1" display="Возврат в оглавление"/>
  </hyperlinks>
  <printOptions/>
  <pageMargins left="0.46" right="0.43" top="1" bottom="1" header="0.5" footer="0.5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showGridLines="0" zoomScale="90" zoomScaleNormal="90" workbookViewId="0" topLeftCell="A1">
      <selection activeCell="A2" sqref="A2:B2"/>
    </sheetView>
  </sheetViews>
  <sheetFormatPr defaultColWidth="9.140625" defaultRowHeight="12.75"/>
  <cols>
    <col min="1" max="1" width="5.28125" style="2" customWidth="1"/>
    <col min="2" max="2" width="35.421875" style="2" customWidth="1"/>
    <col min="3" max="3" width="10.7109375" style="2" customWidth="1"/>
    <col min="4" max="4" width="26.140625" style="2" customWidth="1"/>
    <col min="5" max="7" width="9.7109375" style="2" customWidth="1"/>
    <col min="8" max="8" width="16.140625" style="2" customWidth="1"/>
    <col min="9" max="16384" width="9.140625" style="2" customWidth="1"/>
  </cols>
  <sheetData>
    <row r="1" ht="7.5" customHeight="1" thickBot="1"/>
    <row r="2" spans="1:3" ht="21" customHeight="1" thickBot="1" thickTop="1">
      <c r="A2" s="474" t="s">
        <v>190</v>
      </c>
      <c r="B2" s="457"/>
      <c r="C2" s="309"/>
    </row>
    <row r="3" ht="10.5" customHeight="1" thickTop="1"/>
    <row r="4" spans="1:17" ht="18.75">
      <c r="A4" s="620" t="s">
        <v>162</v>
      </c>
      <c r="B4" s="620"/>
      <c r="C4" s="620"/>
      <c r="D4" s="620"/>
      <c r="E4" s="66"/>
      <c r="F4" s="66"/>
      <c r="G4" s="66"/>
      <c r="H4" s="66"/>
      <c r="I4" s="222"/>
      <c r="J4" s="222"/>
      <c r="K4" s="222"/>
      <c r="L4" s="222"/>
      <c r="M4" s="222"/>
      <c r="N4" s="222"/>
      <c r="O4" s="222"/>
      <c r="P4" s="222"/>
      <c r="Q4" s="222"/>
    </row>
    <row r="6" spans="1:5" ht="15.75">
      <c r="A6" s="764" t="s">
        <v>163</v>
      </c>
      <c r="B6" s="764"/>
      <c r="C6" s="764"/>
      <c r="D6" s="764"/>
      <c r="E6" s="272"/>
    </row>
    <row r="7" ht="13.5" thickBot="1"/>
    <row r="8" spans="1:4" s="12" customFormat="1" ht="26.25" customHeight="1" thickBot="1">
      <c r="A8" s="225" t="s">
        <v>13</v>
      </c>
      <c r="B8" s="226" t="s">
        <v>132</v>
      </c>
      <c r="C8" s="226" t="s">
        <v>133</v>
      </c>
      <c r="D8" s="227" t="s">
        <v>145</v>
      </c>
    </row>
    <row r="9" spans="1:4" s="273" customFormat="1" ht="12.75">
      <c r="A9" s="761" t="s">
        <v>140</v>
      </c>
      <c r="B9" s="762"/>
      <c r="C9" s="762"/>
      <c r="D9" s="763"/>
    </row>
    <row r="10" spans="1:4" s="273" customFormat="1" ht="12.75">
      <c r="A10" s="274">
        <v>1</v>
      </c>
      <c r="B10" s="275" t="s">
        <v>135</v>
      </c>
      <c r="C10" s="276"/>
      <c r="D10" s="340" t="s">
        <v>138</v>
      </c>
    </row>
    <row r="11" spans="1:4" s="273" customFormat="1" ht="12.75">
      <c r="A11" s="274">
        <v>2</v>
      </c>
      <c r="B11" s="275" t="s">
        <v>136</v>
      </c>
      <c r="C11" s="276" t="s">
        <v>137</v>
      </c>
      <c r="D11" s="340">
        <v>1968</v>
      </c>
    </row>
    <row r="12" spans="1:4" s="273" customFormat="1" ht="12.75">
      <c r="A12" s="274">
        <v>3</v>
      </c>
      <c r="B12" s="275" t="s">
        <v>139</v>
      </c>
      <c r="C12" s="276" t="s">
        <v>142</v>
      </c>
      <c r="D12" s="440">
        <f>(SUM('Расход тепла на растопку'!C9:C13)+SUM('Расход тепла на растопку'!C23:C32))*1.163</f>
        <v>126.76700000000001</v>
      </c>
    </row>
    <row r="13" spans="1:4" s="273" customFormat="1" ht="12.75">
      <c r="A13" s="277">
        <v>4</v>
      </c>
      <c r="B13" s="278" t="s">
        <v>146</v>
      </c>
      <c r="C13" s="279" t="s">
        <v>19</v>
      </c>
      <c r="D13" s="441">
        <f>D14+D15+D16</f>
        <v>86</v>
      </c>
    </row>
    <row r="14" spans="1:8" s="273" customFormat="1" ht="12.75">
      <c r="A14" s="280"/>
      <c r="B14" s="275" t="s">
        <v>147</v>
      </c>
      <c r="C14" s="276" t="s">
        <v>19</v>
      </c>
      <c r="D14" s="440">
        <f>'Полезный отпуск тепла'!D11</f>
        <v>50</v>
      </c>
      <c r="H14" s="394"/>
    </row>
    <row r="15" spans="1:4" s="273" customFormat="1" ht="12.75">
      <c r="A15" s="280"/>
      <c r="B15" s="275" t="s">
        <v>150</v>
      </c>
      <c r="C15" s="276" t="s">
        <v>19</v>
      </c>
      <c r="D15" s="440">
        <f>'Полезный отпуск тепла'!D12</f>
        <v>10</v>
      </c>
    </row>
    <row r="16" spans="1:4" s="273" customFormat="1" ht="12.75">
      <c r="A16" s="280"/>
      <c r="B16" s="281" t="s">
        <v>151</v>
      </c>
      <c r="C16" s="282" t="s">
        <v>19</v>
      </c>
      <c r="D16" s="440">
        <f>'Полезный отпуск тепла'!D13</f>
        <v>26</v>
      </c>
    </row>
    <row r="17" spans="1:4" s="273" customFormat="1" ht="13.5" thickBot="1">
      <c r="A17" s="383">
        <v>5</v>
      </c>
      <c r="B17" s="384" t="s">
        <v>201</v>
      </c>
      <c r="C17" s="283" t="s">
        <v>39</v>
      </c>
      <c r="D17" s="440">
        <f>'Расход тепла на паровые котлы'!C28</f>
        <v>35</v>
      </c>
    </row>
    <row r="18" spans="1:4" s="273" customFormat="1" ht="12.75">
      <c r="A18" s="761" t="s">
        <v>165</v>
      </c>
      <c r="B18" s="762"/>
      <c r="C18" s="762"/>
      <c r="D18" s="763"/>
    </row>
    <row r="19" spans="1:4" s="273" customFormat="1" ht="12.75">
      <c r="A19" s="757">
        <v>6</v>
      </c>
      <c r="B19" s="759" t="s">
        <v>196</v>
      </c>
      <c r="C19" s="276" t="str">
        <f>'Расчет расхода топлива'!C8</f>
        <v>т у.т.</v>
      </c>
      <c r="D19" s="385" t="e">
        <f>'Расчет расхода топлива'!P8</f>
        <v>#REF!</v>
      </c>
    </row>
    <row r="20" spans="1:4" s="273" customFormat="1" ht="13.5" thickBot="1">
      <c r="A20" s="758"/>
      <c r="B20" s="760"/>
      <c r="C20" s="279" t="str">
        <f>'Расчет расхода топлива'!C9</f>
        <v>тыс. нм3</v>
      </c>
      <c r="D20" s="386" t="e">
        <f>'Расчет расхода топлива'!P9</f>
        <v>#REF!</v>
      </c>
    </row>
    <row r="21" spans="1:4" s="273" customFormat="1" ht="12.75">
      <c r="A21" s="761" t="s">
        <v>164</v>
      </c>
      <c r="B21" s="762"/>
      <c r="C21" s="762"/>
      <c r="D21" s="763"/>
    </row>
    <row r="22" spans="1:4" s="273" customFormat="1" ht="12.75">
      <c r="A22" s="277">
        <v>7</v>
      </c>
      <c r="B22" s="275" t="s">
        <v>144</v>
      </c>
      <c r="C22" s="276" t="s">
        <v>15</v>
      </c>
      <c r="D22" s="393" t="e">
        <f>D23+D24+D25</f>
        <v>#REF!</v>
      </c>
    </row>
    <row r="23" spans="1:4" s="273" customFormat="1" ht="12.75">
      <c r="A23" s="280"/>
      <c r="B23" s="284" t="s">
        <v>148</v>
      </c>
      <c r="C23" s="276" t="s">
        <v>15</v>
      </c>
      <c r="D23" s="385" t="e">
        <f>'Выработка и отпуск тепла'!O10</f>
        <v>#REF!</v>
      </c>
    </row>
    <row r="24" spans="1:4" s="273" customFormat="1" ht="12.75">
      <c r="A24" s="280"/>
      <c r="B24" s="284" t="s">
        <v>149</v>
      </c>
      <c r="C24" s="276" t="s">
        <v>15</v>
      </c>
      <c r="D24" s="387" t="e">
        <f>'Выработка и отпуск тепла'!O11</f>
        <v>#REF!</v>
      </c>
    </row>
    <row r="25" spans="1:4" s="273" customFormat="1" ht="13.5" thickBot="1">
      <c r="A25" s="288"/>
      <c r="B25" s="285" t="s">
        <v>216</v>
      </c>
      <c r="C25" s="283" t="s">
        <v>15</v>
      </c>
      <c r="D25" s="386" t="e">
        <f>'Выработка и отпуск тепла'!O12</f>
        <v>#REF!</v>
      </c>
    </row>
    <row r="26" spans="1:4" s="286" customFormat="1" ht="12.75">
      <c r="A26" s="761" t="s">
        <v>180</v>
      </c>
      <c r="B26" s="762"/>
      <c r="C26" s="762"/>
      <c r="D26" s="763"/>
    </row>
    <row r="27" spans="1:4" s="286" customFormat="1" ht="12.75">
      <c r="A27" s="293">
        <v>8</v>
      </c>
      <c r="B27" s="289" t="s">
        <v>166</v>
      </c>
      <c r="C27" s="290" t="s">
        <v>141</v>
      </c>
      <c r="D27" s="385" t="e">
        <f>D24/(D23+D25)*100</f>
        <v>#REF!</v>
      </c>
    </row>
    <row r="28" spans="1:4" s="286" customFormat="1" ht="12.75">
      <c r="A28" s="293">
        <v>9</v>
      </c>
      <c r="B28" s="289" t="s">
        <v>185</v>
      </c>
      <c r="C28" s="290" t="s">
        <v>141</v>
      </c>
      <c r="D28" s="385">
        <f>'КПД котлов'!D35</f>
        <v>80.89908256880734</v>
      </c>
    </row>
    <row r="29" spans="1:4" s="286" customFormat="1" ht="26.25" thickBot="1">
      <c r="A29" s="11">
        <v>10</v>
      </c>
      <c r="B29" s="291" t="s">
        <v>173</v>
      </c>
      <c r="C29" s="292" t="s">
        <v>141</v>
      </c>
      <c r="D29" s="386" t="e">
        <f>D28*(1-D27/100)</f>
        <v>#REF!</v>
      </c>
    </row>
    <row r="30" s="286" customFormat="1" ht="12.75"/>
    <row r="31" spans="1:4" s="273" customFormat="1" ht="40.5" customHeight="1">
      <c r="A31" s="756">
        <f>IF(D13*1.163&gt;D12,"ВНИМАНИЕ ОШИБКА: Присоединенная нагрузка больше установленной мощности. Проверьте нагрузки, либо теплопроизводительность котлов.","")</f>
      </c>
      <c r="B31" s="756"/>
      <c r="C31" s="756"/>
      <c r="D31" s="756"/>
    </row>
  </sheetData>
  <sheetProtection sheet="1" objects="1" scenarios="1"/>
  <mergeCells count="10">
    <mergeCell ref="A2:B2"/>
    <mergeCell ref="A18:D18"/>
    <mergeCell ref="A21:D21"/>
    <mergeCell ref="A6:D6"/>
    <mergeCell ref="A4:D4"/>
    <mergeCell ref="A9:D9"/>
    <mergeCell ref="A31:D31"/>
    <mergeCell ref="A19:A20"/>
    <mergeCell ref="B19:B20"/>
    <mergeCell ref="A26:D26"/>
  </mergeCells>
  <hyperlinks>
    <hyperlink ref="A2" location="Оглавление!A1" display="Возврат в оглавление"/>
  </hyperlinks>
  <printOptions/>
  <pageMargins left="1.24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"/>
  <sheetViews>
    <sheetView showGridLines="0" workbookViewId="0" topLeftCell="A1">
      <selection activeCell="A2" sqref="A2:C2"/>
    </sheetView>
  </sheetViews>
  <sheetFormatPr defaultColWidth="9.140625" defaultRowHeight="12.75"/>
  <sheetData>
    <row r="1" ht="7.5" customHeight="1" thickBot="1"/>
    <row r="2" spans="1:3" ht="21.75" customHeight="1" thickBot="1" thickTop="1">
      <c r="A2" s="474" t="s">
        <v>190</v>
      </c>
      <c r="B2" s="457"/>
      <c r="C2" s="458"/>
    </row>
    <row r="3" ht="13.5" thickTop="1"/>
  </sheetData>
  <sheetProtection sheet="1" objects="1" scenarios="1"/>
  <mergeCells count="1">
    <mergeCell ref="A2:C2"/>
  </mergeCells>
  <hyperlinks>
    <hyperlink ref="A2" location="Оглавление!A1" display="Возврат в оглавление"/>
  </hyperlinks>
  <printOptions/>
  <pageMargins left="0.75" right="0.25" top="0.62" bottom="0.45" header="0.5" footer="0.26"/>
  <pageSetup fitToHeight="6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="75" zoomScaleNormal="75" workbookViewId="0" topLeftCell="A1">
      <selection activeCell="B2" sqref="B2:C2"/>
    </sheetView>
  </sheetViews>
  <sheetFormatPr defaultColWidth="9.140625" defaultRowHeight="12.75"/>
  <cols>
    <col min="1" max="1" width="3.421875" style="310" customWidth="1"/>
    <col min="2" max="2" width="59.00390625" style="310" customWidth="1"/>
    <col min="3" max="3" width="15.28125" style="399" customWidth="1"/>
    <col min="4" max="8" width="10.7109375" style="310" customWidth="1"/>
    <col min="9" max="18" width="8.7109375" style="310" customWidth="1"/>
    <col min="19" max="16384" width="9.140625" style="310" customWidth="1"/>
  </cols>
  <sheetData>
    <row r="1" ht="6.75" customHeight="1" thickBot="1"/>
    <row r="2" spans="2:3" ht="24" customHeight="1" thickBot="1" thickTop="1">
      <c r="B2" s="456" t="s">
        <v>190</v>
      </c>
      <c r="C2" s="444"/>
    </row>
    <row r="3" spans="1:18" ht="21" thickTop="1">
      <c r="A3" s="455" t="s">
        <v>260</v>
      </c>
      <c r="B3" s="455"/>
      <c r="C3" s="455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ht="20.2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2:10" ht="20.25">
      <c r="B5" s="464" t="s">
        <v>217</v>
      </c>
      <c r="C5" s="397"/>
      <c r="D5" s="465"/>
      <c r="E5" s="397"/>
      <c r="F5" s="397"/>
      <c r="G5" s="397"/>
      <c r="H5" s="397"/>
      <c r="I5" s="397"/>
      <c r="J5" s="397"/>
    </row>
    <row r="6" spans="2:10" ht="20.25">
      <c r="B6" s="464" t="s">
        <v>218</v>
      </c>
      <c r="C6" s="397"/>
      <c r="D6" s="397"/>
      <c r="E6" s="397"/>
      <c r="F6" s="397"/>
      <c r="G6" s="397"/>
      <c r="H6" s="397"/>
      <c r="I6" s="397"/>
      <c r="J6" s="397"/>
    </row>
    <row r="7" spans="2:10" ht="20.25">
      <c r="B7" s="464" t="s">
        <v>219</v>
      </c>
      <c r="C7" s="398"/>
      <c r="D7" s="397"/>
      <c r="E7" s="397"/>
      <c r="F7" s="397"/>
      <c r="G7" s="397"/>
      <c r="H7" s="397"/>
      <c r="I7" s="397"/>
      <c r="J7" s="397"/>
    </row>
    <row r="8" spans="2:10" ht="21" thickBot="1">
      <c r="B8" s="464"/>
      <c r="C8" s="398"/>
      <c r="D8" s="397"/>
      <c r="E8" s="397"/>
      <c r="F8" s="397"/>
      <c r="G8" s="397"/>
      <c r="H8" s="397"/>
      <c r="I8" s="397"/>
      <c r="J8" s="397"/>
    </row>
    <row r="9" spans="2:10" ht="21" thickBot="1">
      <c r="B9" s="484" t="s">
        <v>258</v>
      </c>
      <c r="C9" s="463" t="s">
        <v>221</v>
      </c>
      <c r="D9" s="461" t="s">
        <v>220</v>
      </c>
      <c r="E9" s="461"/>
      <c r="F9" s="461"/>
      <c r="G9" s="461"/>
      <c r="H9" s="462"/>
      <c r="I9" s="397"/>
      <c r="J9" s="397"/>
    </row>
    <row r="10" spans="2:10" ht="21" thickBot="1">
      <c r="B10" s="485" t="s">
        <v>259</v>
      </c>
      <c r="C10" s="453"/>
      <c r="D10" s="501" t="s">
        <v>0</v>
      </c>
      <c r="E10" s="503" t="s">
        <v>1</v>
      </c>
      <c r="F10" s="503" t="s">
        <v>2</v>
      </c>
      <c r="G10" s="503" t="s">
        <v>10</v>
      </c>
      <c r="H10" s="504" t="s">
        <v>11</v>
      </c>
      <c r="I10" s="397"/>
      <c r="J10" s="397"/>
    </row>
    <row r="11" spans="2:10" ht="19.5" customHeight="1">
      <c r="B11" s="486" t="s">
        <v>222</v>
      </c>
      <c r="C11" s="494"/>
      <c r="D11" s="493"/>
      <c r="E11" s="481"/>
      <c r="F11" s="481"/>
      <c r="G11" s="481"/>
      <c r="H11" s="482"/>
      <c r="I11" s="397"/>
      <c r="J11" s="397"/>
    </row>
    <row r="12" spans="2:10" ht="19.5" customHeight="1">
      <c r="B12" s="487" t="s">
        <v>223</v>
      </c>
      <c r="C12" s="495"/>
      <c r="D12" s="483"/>
      <c r="E12" s="467"/>
      <c r="F12" s="467"/>
      <c r="G12" s="467"/>
      <c r="H12" s="476"/>
      <c r="I12" s="397"/>
      <c r="J12" s="397"/>
    </row>
    <row r="13" spans="2:10" ht="19.5" customHeight="1">
      <c r="B13" s="487" t="s">
        <v>209</v>
      </c>
      <c r="C13" s="495"/>
      <c r="D13" s="483"/>
      <c r="E13" s="467"/>
      <c r="F13" s="467"/>
      <c r="G13" s="467"/>
      <c r="H13" s="476"/>
      <c r="I13" s="397"/>
      <c r="J13" s="397"/>
    </row>
    <row r="14" spans="2:10" ht="19.5" customHeight="1">
      <c r="B14" s="487" t="s">
        <v>206</v>
      </c>
      <c r="C14" s="495"/>
      <c r="D14" s="483"/>
      <c r="E14" s="467"/>
      <c r="F14" s="467"/>
      <c r="G14" s="467"/>
      <c r="H14" s="476"/>
      <c r="I14" s="397"/>
      <c r="J14" s="397"/>
    </row>
    <row r="15" spans="2:10" ht="19.5" customHeight="1">
      <c r="B15" s="487" t="s">
        <v>207</v>
      </c>
      <c r="C15" s="495"/>
      <c r="D15" s="483"/>
      <c r="E15" s="467"/>
      <c r="F15" s="467"/>
      <c r="G15" s="467"/>
      <c r="H15" s="476"/>
      <c r="I15" s="397"/>
      <c r="J15" s="397"/>
    </row>
    <row r="16" spans="2:10" ht="19.5" customHeight="1">
      <c r="B16" s="488" t="s">
        <v>224</v>
      </c>
      <c r="C16" s="496" t="s">
        <v>19</v>
      </c>
      <c r="D16" s="468"/>
      <c r="E16" s="468"/>
      <c r="F16" s="468"/>
      <c r="G16" s="468"/>
      <c r="H16" s="477"/>
      <c r="I16" s="398"/>
      <c r="J16" s="398"/>
    </row>
    <row r="17" spans="2:8" s="469" customFormat="1" ht="19.5" customHeight="1">
      <c r="B17" s="488" t="s">
        <v>225</v>
      </c>
      <c r="C17" s="496" t="s">
        <v>19</v>
      </c>
      <c r="D17" s="468"/>
      <c r="E17" s="468"/>
      <c r="F17" s="468"/>
      <c r="G17" s="468"/>
      <c r="H17" s="477"/>
    </row>
    <row r="18" spans="2:8" s="469" customFormat="1" ht="33.75" customHeight="1">
      <c r="B18" s="488" t="s">
        <v>226</v>
      </c>
      <c r="C18" s="496" t="s">
        <v>19</v>
      </c>
      <c r="D18" s="475"/>
      <c r="E18" s="466"/>
      <c r="F18" s="466"/>
      <c r="G18" s="466"/>
      <c r="H18" s="478"/>
    </row>
    <row r="19" spans="2:8" s="469" customFormat="1" ht="19.5" customHeight="1">
      <c r="B19" s="489" t="s">
        <v>227</v>
      </c>
      <c r="C19" s="496" t="s">
        <v>19</v>
      </c>
      <c r="D19" s="475"/>
      <c r="E19" s="466"/>
      <c r="F19" s="466"/>
      <c r="G19" s="466"/>
      <c r="H19" s="478"/>
    </row>
    <row r="20" spans="2:8" s="469" customFormat="1" ht="19.5" customHeight="1">
      <c r="B20" s="489" t="s">
        <v>228</v>
      </c>
      <c r="C20" s="496" t="s">
        <v>229</v>
      </c>
      <c r="D20" s="468"/>
      <c r="E20" s="468"/>
      <c r="F20" s="468"/>
      <c r="G20" s="468"/>
      <c r="H20" s="477"/>
    </row>
    <row r="21" spans="2:8" s="469" customFormat="1" ht="19.5" customHeight="1">
      <c r="B21" s="489" t="s">
        <v>230</v>
      </c>
      <c r="C21" s="496" t="s">
        <v>141</v>
      </c>
      <c r="D21" s="475"/>
      <c r="E21" s="466"/>
      <c r="F21" s="466"/>
      <c r="G21" s="466"/>
      <c r="H21" s="478"/>
    </row>
    <row r="22" spans="2:8" s="469" customFormat="1" ht="19.5" customHeight="1">
      <c r="B22" s="489" t="s">
        <v>262</v>
      </c>
      <c r="C22" s="497" t="s">
        <v>232</v>
      </c>
      <c r="D22" s="475"/>
      <c r="E22" s="466"/>
      <c r="F22" s="466"/>
      <c r="G22" s="466"/>
      <c r="H22" s="478"/>
    </row>
    <row r="23" spans="2:8" s="469" customFormat="1" ht="19.5" customHeight="1">
      <c r="B23" s="489" t="s">
        <v>231</v>
      </c>
      <c r="C23" s="497" t="s">
        <v>232</v>
      </c>
      <c r="D23" s="454"/>
      <c r="E23" s="459"/>
      <c r="F23" s="459"/>
      <c r="G23" s="459"/>
      <c r="H23" s="460"/>
    </row>
    <row r="24" spans="2:8" s="469" customFormat="1" ht="19.5" customHeight="1">
      <c r="B24" s="489" t="s">
        <v>233</v>
      </c>
      <c r="C24" s="497" t="s">
        <v>232</v>
      </c>
      <c r="D24" s="475"/>
      <c r="E24" s="466"/>
      <c r="F24" s="466"/>
      <c r="G24" s="466"/>
      <c r="H24" s="478"/>
    </row>
    <row r="25" spans="2:8" s="469" customFormat="1" ht="19.5" customHeight="1">
      <c r="B25" s="490" t="s">
        <v>234</v>
      </c>
      <c r="C25" s="498" t="s">
        <v>235</v>
      </c>
      <c r="D25" s="475"/>
      <c r="E25" s="466"/>
      <c r="F25" s="466"/>
      <c r="G25" s="466"/>
      <c r="H25" s="478"/>
    </row>
    <row r="26" spans="2:8" s="469" customFormat="1" ht="19.5" customHeight="1">
      <c r="B26" s="488" t="s">
        <v>236</v>
      </c>
      <c r="C26" s="496" t="s">
        <v>237</v>
      </c>
      <c r="D26" s="468"/>
      <c r="E26" s="468"/>
      <c r="F26" s="468"/>
      <c r="G26" s="468"/>
      <c r="H26" s="477"/>
    </row>
    <row r="27" spans="2:8" s="469" customFormat="1" ht="19.5" customHeight="1">
      <c r="B27" s="488" t="s">
        <v>238</v>
      </c>
      <c r="C27" s="496" t="s">
        <v>239</v>
      </c>
      <c r="D27" s="475"/>
      <c r="E27" s="466"/>
      <c r="F27" s="466"/>
      <c r="G27" s="466"/>
      <c r="H27" s="478"/>
    </row>
    <row r="28" spans="2:8" s="469" customFormat="1" ht="19.5" customHeight="1">
      <c r="B28" s="488" t="s">
        <v>240</v>
      </c>
      <c r="C28" s="496" t="s">
        <v>241</v>
      </c>
      <c r="D28" s="475"/>
      <c r="E28" s="466"/>
      <c r="F28" s="466"/>
      <c r="G28" s="466"/>
      <c r="H28" s="478"/>
    </row>
    <row r="29" spans="2:8" s="469" customFormat="1" ht="19.5" customHeight="1">
      <c r="B29" s="489" t="s">
        <v>242</v>
      </c>
      <c r="C29" s="496" t="s">
        <v>241</v>
      </c>
      <c r="D29" s="475"/>
      <c r="E29" s="466"/>
      <c r="F29" s="466"/>
      <c r="G29" s="466"/>
      <c r="H29" s="478"/>
    </row>
    <row r="30" spans="2:8" s="469" customFormat="1" ht="19.5" customHeight="1">
      <c r="B30" s="489" t="s">
        <v>243</v>
      </c>
      <c r="C30" s="496" t="s">
        <v>244</v>
      </c>
      <c r="D30" s="459"/>
      <c r="E30" s="459"/>
      <c r="F30" s="459"/>
      <c r="G30" s="459"/>
      <c r="H30" s="460"/>
    </row>
    <row r="31" spans="2:8" s="469" customFormat="1" ht="19.5" customHeight="1">
      <c r="B31" s="489" t="s">
        <v>245</v>
      </c>
      <c r="C31" s="499" t="s">
        <v>246</v>
      </c>
      <c r="D31" s="475"/>
      <c r="E31" s="466"/>
      <c r="F31" s="466"/>
      <c r="G31" s="466"/>
      <c r="H31" s="478"/>
    </row>
    <row r="32" spans="2:8" s="469" customFormat="1" ht="28.5">
      <c r="B32" s="488" t="s">
        <v>247</v>
      </c>
      <c r="C32" s="496" t="s">
        <v>248</v>
      </c>
      <c r="D32" s="475"/>
      <c r="E32" s="466"/>
      <c r="F32" s="466"/>
      <c r="G32" s="466"/>
      <c r="H32" s="478"/>
    </row>
    <row r="33" spans="2:8" s="469" customFormat="1" ht="19.5" customHeight="1">
      <c r="B33" s="489" t="s">
        <v>249</v>
      </c>
      <c r="C33" s="496" t="s">
        <v>250</v>
      </c>
      <c r="D33" s="475"/>
      <c r="E33" s="466"/>
      <c r="F33" s="466"/>
      <c r="G33" s="466"/>
      <c r="H33" s="478"/>
    </row>
    <row r="34" spans="2:8" s="469" customFormat="1" ht="29.25" thickBot="1">
      <c r="B34" s="491" t="s">
        <v>251</v>
      </c>
      <c r="C34" s="500" t="s">
        <v>252</v>
      </c>
      <c r="D34" s="479"/>
      <c r="E34" s="479"/>
      <c r="F34" s="479"/>
      <c r="G34" s="479"/>
      <c r="H34" s="480"/>
    </row>
    <row r="35" spans="2:6" s="469" customFormat="1" ht="15">
      <c r="B35" s="470"/>
      <c r="C35" s="492"/>
      <c r="D35" s="470"/>
      <c r="E35" s="470"/>
      <c r="F35" s="470"/>
    </row>
    <row r="36" spans="2:6" s="469" customFormat="1" ht="15.75">
      <c r="B36" s="471" t="s">
        <v>253</v>
      </c>
      <c r="C36" s="492"/>
      <c r="D36" s="470"/>
      <c r="E36" s="470"/>
      <c r="F36" s="470"/>
    </row>
    <row r="37" spans="2:6" s="469" customFormat="1" ht="15.75">
      <c r="B37" s="471"/>
      <c r="C37" s="492"/>
      <c r="D37" s="470"/>
      <c r="E37" s="470"/>
      <c r="F37" s="470"/>
    </row>
    <row r="38" spans="2:6" s="469" customFormat="1" ht="15">
      <c r="B38" s="470" t="s">
        <v>254</v>
      </c>
      <c r="C38" s="492"/>
      <c r="D38" s="470"/>
      <c r="E38" s="470"/>
      <c r="F38" s="470"/>
    </row>
    <row r="39" spans="2:6" s="469" customFormat="1" ht="15">
      <c r="B39" s="470" t="s">
        <v>255</v>
      </c>
      <c r="C39" s="492"/>
      <c r="D39" s="470"/>
      <c r="E39" s="470"/>
      <c r="F39" s="470"/>
    </row>
    <row r="40" spans="2:6" s="469" customFormat="1" ht="15">
      <c r="B40" s="470" t="s">
        <v>256</v>
      </c>
      <c r="C40" s="492"/>
      <c r="D40" s="470"/>
      <c r="E40" s="470"/>
      <c r="F40" s="470"/>
    </row>
    <row r="41" spans="2:6" s="469" customFormat="1" ht="15">
      <c r="B41" s="470" t="s">
        <v>257</v>
      </c>
      <c r="C41" s="492"/>
      <c r="D41" s="470"/>
      <c r="E41" s="470"/>
      <c r="F41" s="470"/>
    </row>
  </sheetData>
  <mergeCells count="6">
    <mergeCell ref="A3:C3"/>
    <mergeCell ref="B2:C2"/>
    <mergeCell ref="D30:H30"/>
    <mergeCell ref="D9:H9"/>
    <mergeCell ref="C9:C10"/>
    <mergeCell ref="D23:H23"/>
  </mergeCells>
  <hyperlinks>
    <hyperlink ref="B2" location="Оглавление!A1" display="Возврат в оглавление"/>
  </hyperlinks>
  <printOptions/>
  <pageMargins left="0.49" right="0.32" top="0.91" bottom="0.46" header="0.5118110236220472" footer="0.23"/>
  <pageSetup fitToHeight="0" fitToWidth="1" horizontalDpi="600" verticalDpi="600" orientation="landscape" paperSize="9" scale="7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75" zoomScaleNormal="75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25.421875" style="1" customWidth="1"/>
    <col min="3" max="3" width="27.421875" style="1" customWidth="1"/>
    <col min="4" max="4" width="15.8515625" style="1" customWidth="1"/>
    <col min="5" max="5" width="13.421875" style="1" customWidth="1"/>
    <col min="6" max="6" width="14.00390625" style="1" customWidth="1"/>
    <col min="7" max="7" width="13.8515625" style="1" customWidth="1"/>
    <col min="8" max="8" width="14.00390625" style="1" customWidth="1"/>
    <col min="9" max="14" width="8.7109375" style="1" customWidth="1"/>
    <col min="15" max="15" width="9.140625" style="1" customWidth="1"/>
    <col min="16" max="16" width="10.421875" style="1" customWidth="1"/>
    <col min="17" max="18" width="8.7109375" style="1" customWidth="1"/>
    <col min="19" max="19" width="16.00390625" style="1" customWidth="1"/>
    <col min="20" max="20" width="13.57421875" style="1" customWidth="1"/>
    <col min="21" max="21" width="15.140625" style="1" customWidth="1"/>
    <col min="22" max="16384" width="9.140625" style="1" customWidth="1"/>
  </cols>
  <sheetData>
    <row r="1" spans="1:2" ht="7.5" customHeight="1" thickBot="1">
      <c r="A1"/>
      <c r="B1"/>
    </row>
    <row r="2" spans="1:4" ht="20.25" customHeight="1" thickBot="1" thickTop="1">
      <c r="A2"/>
      <c r="B2"/>
      <c r="C2" s="308" t="s">
        <v>190</v>
      </c>
      <c r="D2" s="307"/>
    </row>
    <row r="3" spans="1:4" ht="20.25" customHeight="1" thickTop="1">
      <c r="A3"/>
      <c r="B3"/>
      <c r="C3" s="307"/>
      <c r="D3" s="307"/>
    </row>
    <row r="4" spans="1:4" ht="20.25" customHeight="1">
      <c r="A4"/>
      <c r="B4" s="455" t="s">
        <v>288</v>
      </c>
      <c r="C4" s="455"/>
      <c r="D4" s="455"/>
    </row>
    <row r="5" spans="2:4" ht="12" customHeight="1">
      <c r="B5" s="307"/>
      <c r="C5" s="307"/>
      <c r="D5" s="307"/>
    </row>
    <row r="6" spans="1:2" ht="18">
      <c r="A6" s="294"/>
      <c r="B6" s="464" t="s">
        <v>217</v>
      </c>
    </row>
    <row r="7" spans="1:2" ht="18">
      <c r="A7" s="294"/>
      <c r="B7" s="464" t="s">
        <v>218</v>
      </c>
    </row>
    <row r="8" spans="1:2" ht="18">
      <c r="A8" s="294"/>
      <c r="B8" s="464" t="s">
        <v>219</v>
      </c>
    </row>
    <row r="9" ht="12.75">
      <c r="A9" s="294"/>
    </row>
    <row r="10" spans="1:2" ht="18">
      <c r="A10" s="294"/>
      <c r="B10" s="505" t="s">
        <v>263</v>
      </c>
    </row>
    <row r="11" ht="13.5" thickBot="1">
      <c r="A11" s="294"/>
    </row>
    <row r="12" spans="1:21" s="506" customFormat="1" ht="148.5" customHeight="1">
      <c r="A12" s="451" t="s">
        <v>205</v>
      </c>
      <c r="B12" s="618" t="s">
        <v>264</v>
      </c>
      <c r="C12" s="619"/>
      <c r="D12" s="614" t="s">
        <v>265</v>
      </c>
      <c r="E12" s="616" t="s">
        <v>266</v>
      </c>
      <c r="F12" s="614" t="s">
        <v>267</v>
      </c>
      <c r="G12" s="616" t="s">
        <v>268</v>
      </c>
      <c r="H12" s="614" t="s">
        <v>269</v>
      </c>
      <c r="I12" s="442" t="s">
        <v>270</v>
      </c>
      <c r="J12" s="443"/>
      <c r="K12" s="611" t="s">
        <v>271</v>
      </c>
      <c r="L12" s="612"/>
      <c r="M12" s="442" t="s">
        <v>272</v>
      </c>
      <c r="N12" s="443"/>
      <c r="O12" s="451" t="s">
        <v>154</v>
      </c>
      <c r="P12" s="451" t="s">
        <v>273</v>
      </c>
      <c r="Q12" s="442" t="s">
        <v>290</v>
      </c>
      <c r="R12" s="443"/>
      <c r="S12" s="605" t="s">
        <v>274</v>
      </c>
      <c r="T12" s="607" t="s">
        <v>275</v>
      </c>
      <c r="U12" s="609" t="s">
        <v>276</v>
      </c>
    </row>
    <row r="13" spans="1:21" s="506" customFormat="1" ht="18.75" customHeight="1" thickBot="1">
      <c r="A13" s="452"/>
      <c r="B13" s="552" t="s">
        <v>277</v>
      </c>
      <c r="C13" s="553" t="s">
        <v>278</v>
      </c>
      <c r="D13" s="615"/>
      <c r="E13" s="617"/>
      <c r="F13" s="615"/>
      <c r="G13" s="617"/>
      <c r="H13" s="615"/>
      <c r="I13" s="507" t="s">
        <v>279</v>
      </c>
      <c r="J13" s="508" t="s">
        <v>280</v>
      </c>
      <c r="K13" s="509" t="s">
        <v>279</v>
      </c>
      <c r="L13" s="510" t="s">
        <v>280</v>
      </c>
      <c r="M13" s="511" t="s">
        <v>279</v>
      </c>
      <c r="N13" s="508" t="s">
        <v>280</v>
      </c>
      <c r="O13" s="613"/>
      <c r="P13" s="613"/>
      <c r="Q13" s="511" t="s">
        <v>279</v>
      </c>
      <c r="R13" s="508" t="s">
        <v>280</v>
      </c>
      <c r="S13" s="606"/>
      <c r="T13" s="608"/>
      <c r="U13" s="610"/>
    </row>
    <row r="14" spans="1:21" s="519" customFormat="1" ht="12" thickBot="1">
      <c r="A14" s="512">
        <v>1</v>
      </c>
      <c r="B14" s="513">
        <f>A14+1</f>
        <v>2</v>
      </c>
      <c r="C14" s="514">
        <f aca="true" t="shared" si="0" ref="C14:U14">B14+1</f>
        <v>3</v>
      </c>
      <c r="D14" s="512">
        <f t="shared" si="0"/>
        <v>4</v>
      </c>
      <c r="E14" s="515">
        <f t="shared" si="0"/>
        <v>5</v>
      </c>
      <c r="F14" s="512">
        <f>E14+1</f>
        <v>6</v>
      </c>
      <c r="G14" s="515">
        <f t="shared" si="0"/>
        <v>7</v>
      </c>
      <c r="H14" s="512">
        <f t="shared" si="0"/>
        <v>8</v>
      </c>
      <c r="I14" s="516">
        <f t="shared" si="0"/>
        <v>9</v>
      </c>
      <c r="J14" s="517">
        <f t="shared" si="0"/>
        <v>10</v>
      </c>
      <c r="K14" s="513">
        <f t="shared" si="0"/>
        <v>11</v>
      </c>
      <c r="L14" s="514">
        <f t="shared" si="0"/>
        <v>12</v>
      </c>
      <c r="M14" s="516">
        <f t="shared" si="0"/>
        <v>13</v>
      </c>
      <c r="N14" s="517">
        <f t="shared" si="0"/>
        <v>14</v>
      </c>
      <c r="O14" s="512">
        <f t="shared" si="0"/>
        <v>15</v>
      </c>
      <c r="P14" s="512">
        <f t="shared" si="0"/>
        <v>16</v>
      </c>
      <c r="Q14" s="516">
        <f t="shared" si="0"/>
        <v>17</v>
      </c>
      <c r="R14" s="517">
        <f t="shared" si="0"/>
        <v>18</v>
      </c>
      <c r="S14" s="512">
        <f t="shared" si="0"/>
        <v>19</v>
      </c>
      <c r="T14" s="512">
        <f>R14+1</f>
        <v>19</v>
      </c>
      <c r="U14" s="518">
        <f t="shared" si="0"/>
        <v>20</v>
      </c>
    </row>
    <row r="15" spans="1:21" s="294" customFormat="1" ht="15" thickBot="1">
      <c r="A15" s="520">
        <v>1</v>
      </c>
      <c r="B15" s="521"/>
      <c r="C15" s="522"/>
      <c r="D15" s="520" t="s">
        <v>15</v>
      </c>
      <c r="E15" s="523" t="s">
        <v>15</v>
      </c>
      <c r="F15" s="520" t="s">
        <v>281</v>
      </c>
      <c r="G15" s="523" t="s">
        <v>282</v>
      </c>
      <c r="H15" s="520" t="s">
        <v>282</v>
      </c>
      <c r="I15" s="445" t="s">
        <v>283</v>
      </c>
      <c r="J15" s="445"/>
      <c r="K15" s="445"/>
      <c r="L15" s="446"/>
      <c r="M15" s="447" t="s">
        <v>284</v>
      </c>
      <c r="N15" s="448"/>
      <c r="O15" s="524" t="s">
        <v>285</v>
      </c>
      <c r="P15" s="524" t="s">
        <v>286</v>
      </c>
      <c r="Q15" s="449" t="s">
        <v>287</v>
      </c>
      <c r="R15" s="450"/>
      <c r="S15" s="520" t="s">
        <v>15</v>
      </c>
      <c r="T15" s="520" t="s">
        <v>15</v>
      </c>
      <c r="U15" s="525" t="s">
        <v>15</v>
      </c>
    </row>
    <row r="16" spans="1:21" ht="19.5" customHeight="1">
      <c r="A16" s="526">
        <v>2</v>
      </c>
      <c r="B16" s="527"/>
      <c r="C16" s="528"/>
      <c r="D16" s="529"/>
      <c r="E16" s="530"/>
      <c r="F16" s="529"/>
      <c r="G16" s="530"/>
      <c r="H16" s="529"/>
      <c r="I16" s="531"/>
      <c r="J16" s="532"/>
      <c r="K16" s="533"/>
      <c r="L16" s="534"/>
      <c r="M16" s="531"/>
      <c r="N16" s="532"/>
      <c r="O16" s="529"/>
      <c r="P16" s="529"/>
      <c r="Q16" s="531"/>
      <c r="R16" s="532"/>
      <c r="S16" s="529"/>
      <c r="T16" s="529"/>
      <c r="U16" s="535"/>
    </row>
    <row r="17" spans="1:21" ht="19.5" customHeight="1">
      <c r="A17" s="536">
        <v>3</v>
      </c>
      <c r="B17" s="537"/>
      <c r="C17" s="538"/>
      <c r="D17" s="539"/>
      <c r="E17" s="540"/>
      <c r="F17" s="539"/>
      <c r="G17" s="540"/>
      <c r="H17" s="539"/>
      <c r="I17" s="541"/>
      <c r="J17" s="542"/>
      <c r="K17" s="537"/>
      <c r="L17" s="538"/>
      <c r="M17" s="541"/>
      <c r="N17" s="542"/>
      <c r="O17" s="539"/>
      <c r="P17" s="539"/>
      <c r="Q17" s="541"/>
      <c r="R17" s="542"/>
      <c r="S17" s="539"/>
      <c r="T17" s="539"/>
      <c r="U17" s="543"/>
    </row>
    <row r="18" spans="1:21" ht="19.5" customHeight="1">
      <c r="A18" s="536">
        <v>4</v>
      </c>
      <c r="B18" s="537"/>
      <c r="C18" s="538"/>
      <c r="D18" s="539"/>
      <c r="E18" s="540"/>
      <c r="F18" s="539"/>
      <c r="G18" s="540"/>
      <c r="H18" s="539"/>
      <c r="I18" s="541"/>
      <c r="J18" s="542"/>
      <c r="K18" s="537"/>
      <c r="L18" s="538"/>
      <c r="M18" s="541"/>
      <c r="N18" s="542"/>
      <c r="O18" s="539"/>
      <c r="P18" s="539"/>
      <c r="Q18" s="541"/>
      <c r="R18" s="542"/>
      <c r="S18" s="539"/>
      <c r="T18" s="539"/>
      <c r="U18" s="543"/>
    </row>
    <row r="19" spans="1:21" ht="19.5" customHeight="1">
      <c r="A19" s="536">
        <v>5</v>
      </c>
      <c r="B19" s="537"/>
      <c r="C19" s="538"/>
      <c r="D19" s="539"/>
      <c r="E19" s="540"/>
      <c r="F19" s="539"/>
      <c r="G19" s="540"/>
      <c r="H19" s="539"/>
      <c r="I19" s="541"/>
      <c r="J19" s="542"/>
      <c r="K19" s="537"/>
      <c r="L19" s="538"/>
      <c r="M19" s="541"/>
      <c r="N19" s="542"/>
      <c r="O19" s="539"/>
      <c r="P19" s="539"/>
      <c r="Q19" s="541"/>
      <c r="R19" s="542"/>
      <c r="S19" s="539"/>
      <c r="T19" s="539"/>
      <c r="U19" s="543"/>
    </row>
    <row r="20" spans="1:21" ht="19.5" customHeight="1">
      <c r="A20" s="536">
        <v>6</v>
      </c>
      <c r="B20" s="537"/>
      <c r="C20" s="538"/>
      <c r="D20" s="539"/>
      <c r="E20" s="540"/>
      <c r="F20" s="539"/>
      <c r="G20" s="540"/>
      <c r="H20" s="539"/>
      <c r="I20" s="541"/>
      <c r="J20" s="542"/>
      <c r="K20" s="537"/>
      <c r="L20" s="538"/>
      <c r="M20" s="541"/>
      <c r="N20" s="542"/>
      <c r="O20" s="539"/>
      <c r="P20" s="539"/>
      <c r="Q20" s="541"/>
      <c r="R20" s="542"/>
      <c r="S20" s="539"/>
      <c r="T20" s="539"/>
      <c r="U20" s="543"/>
    </row>
    <row r="21" spans="1:21" ht="19.5" customHeight="1">
      <c r="A21" s="536">
        <v>7</v>
      </c>
      <c r="B21" s="537"/>
      <c r="C21" s="538"/>
      <c r="D21" s="539"/>
      <c r="E21" s="540"/>
      <c r="F21" s="539"/>
      <c r="G21" s="540"/>
      <c r="H21" s="539"/>
      <c r="I21" s="541"/>
      <c r="J21" s="542"/>
      <c r="K21" s="537"/>
      <c r="L21" s="538"/>
      <c r="M21" s="541"/>
      <c r="N21" s="542"/>
      <c r="O21" s="539"/>
      <c r="P21" s="539"/>
      <c r="Q21" s="541"/>
      <c r="R21" s="542"/>
      <c r="S21" s="539"/>
      <c r="T21" s="539"/>
      <c r="U21" s="543"/>
    </row>
    <row r="22" spans="1:21" ht="19.5" customHeight="1">
      <c r="A22" s="536">
        <v>8</v>
      </c>
      <c r="B22" s="537"/>
      <c r="C22" s="538"/>
      <c r="D22" s="539"/>
      <c r="E22" s="540"/>
      <c r="F22" s="539"/>
      <c r="G22" s="540"/>
      <c r="H22" s="539"/>
      <c r="I22" s="541"/>
      <c r="J22" s="542"/>
      <c r="K22" s="537"/>
      <c r="L22" s="538"/>
      <c r="M22" s="541"/>
      <c r="N22" s="542"/>
      <c r="O22" s="539"/>
      <c r="P22" s="539"/>
      <c r="Q22" s="541"/>
      <c r="R22" s="542"/>
      <c r="S22" s="539"/>
      <c r="T22" s="539"/>
      <c r="U22" s="543"/>
    </row>
    <row r="23" spans="1:21" ht="19.5" customHeight="1">
      <c r="A23" s="536">
        <v>9</v>
      </c>
      <c r="B23" s="537"/>
      <c r="C23" s="538"/>
      <c r="D23" s="539"/>
      <c r="E23" s="540"/>
      <c r="F23" s="539"/>
      <c r="G23" s="540"/>
      <c r="H23" s="539"/>
      <c r="I23" s="541"/>
      <c r="J23" s="542"/>
      <c r="K23" s="537"/>
      <c r="L23" s="538"/>
      <c r="M23" s="541"/>
      <c r="N23" s="542"/>
      <c r="O23" s="539"/>
      <c r="P23" s="539"/>
      <c r="Q23" s="541"/>
      <c r="R23" s="542"/>
      <c r="S23" s="539"/>
      <c r="T23" s="539"/>
      <c r="U23" s="543"/>
    </row>
    <row r="24" spans="1:21" ht="19.5" customHeight="1">
      <c r="A24" s="536">
        <v>10</v>
      </c>
      <c r="B24" s="537"/>
      <c r="C24" s="538"/>
      <c r="D24" s="539"/>
      <c r="E24" s="540"/>
      <c r="F24" s="539"/>
      <c r="G24" s="540"/>
      <c r="H24" s="539"/>
      <c r="I24" s="541"/>
      <c r="J24" s="542"/>
      <c r="K24" s="537"/>
      <c r="L24" s="538"/>
      <c r="M24" s="541"/>
      <c r="N24" s="542"/>
      <c r="O24" s="539"/>
      <c r="P24" s="539"/>
      <c r="Q24" s="541"/>
      <c r="R24" s="542"/>
      <c r="S24" s="539"/>
      <c r="T24" s="539"/>
      <c r="U24" s="543"/>
    </row>
    <row r="25" spans="1:21" ht="19.5" customHeight="1">
      <c r="A25" s="536">
        <v>11</v>
      </c>
      <c r="B25" s="537"/>
      <c r="C25" s="538"/>
      <c r="D25" s="539"/>
      <c r="E25" s="540"/>
      <c r="F25" s="539"/>
      <c r="G25" s="540"/>
      <c r="H25" s="539"/>
      <c r="I25" s="541"/>
      <c r="J25" s="542"/>
      <c r="K25" s="537"/>
      <c r="L25" s="538"/>
      <c r="M25" s="541"/>
      <c r="N25" s="542"/>
      <c r="O25" s="539"/>
      <c r="P25" s="539"/>
      <c r="Q25" s="541"/>
      <c r="R25" s="542"/>
      <c r="S25" s="539"/>
      <c r="T25" s="539"/>
      <c r="U25" s="543"/>
    </row>
    <row r="26" spans="1:21" ht="19.5" customHeight="1" thickBot="1">
      <c r="A26" s="544">
        <v>12</v>
      </c>
      <c r="B26" s="545"/>
      <c r="C26" s="546"/>
      <c r="D26" s="547"/>
      <c r="E26" s="548"/>
      <c r="F26" s="547"/>
      <c r="G26" s="548"/>
      <c r="H26" s="547"/>
      <c r="I26" s="549"/>
      <c r="J26" s="550"/>
      <c r="K26" s="545"/>
      <c r="L26" s="546"/>
      <c r="M26" s="549"/>
      <c r="N26" s="550"/>
      <c r="O26" s="547"/>
      <c r="P26" s="547"/>
      <c r="Q26" s="549"/>
      <c r="R26" s="550"/>
      <c r="S26" s="547"/>
      <c r="T26" s="547"/>
      <c r="U26" s="551"/>
    </row>
  </sheetData>
  <mergeCells count="20">
    <mergeCell ref="D12:D13"/>
    <mergeCell ref="E12:E13"/>
    <mergeCell ref="B4:D4"/>
    <mergeCell ref="S12:S13"/>
    <mergeCell ref="T12:T13"/>
    <mergeCell ref="U12:U13"/>
    <mergeCell ref="K12:L12"/>
    <mergeCell ref="M12:N12"/>
    <mergeCell ref="O12:O13"/>
    <mergeCell ref="P12:P13"/>
    <mergeCell ref="I15:L15"/>
    <mergeCell ref="M15:N15"/>
    <mergeCell ref="Q15:R15"/>
    <mergeCell ref="A12:A13"/>
    <mergeCell ref="Q12:R12"/>
    <mergeCell ref="F12:F13"/>
    <mergeCell ref="G12:G13"/>
    <mergeCell ref="H12:H13"/>
    <mergeCell ref="I12:J12"/>
    <mergeCell ref="B12:C12"/>
  </mergeCells>
  <hyperlinks>
    <hyperlink ref="C2" location="Оглавление!A1" display="Возврат в оглавление"/>
  </hyperlinks>
  <printOptions/>
  <pageMargins left="0.21" right="0.42" top="0.984251968503937" bottom="0.984251968503937" header="0.5118110236220472" footer="0.5118110236220472"/>
  <pageSetup blackAndWhite="1" horizontalDpi="360" verticalDpi="36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showGridLines="0" zoomScale="75" zoomScaleNormal="75" workbookViewId="0" topLeftCell="A1">
      <selection activeCell="A2" sqref="A2:C2"/>
    </sheetView>
  </sheetViews>
  <sheetFormatPr defaultColWidth="9.140625" defaultRowHeight="12.75"/>
  <cols>
    <col min="1" max="1" width="4.57421875" style="47" bestFit="1" customWidth="1"/>
    <col min="2" max="2" width="6.57421875" style="47" customWidth="1"/>
    <col min="3" max="3" width="13.28125" style="48" customWidth="1"/>
    <col min="4" max="4" width="9.421875" style="47" customWidth="1"/>
    <col min="5" max="16" width="9.7109375" style="49" customWidth="1"/>
    <col min="17" max="17" width="11.00390625" style="49" customWidth="1"/>
    <col min="18" max="18" width="13.421875" style="47" bestFit="1" customWidth="1"/>
    <col min="19" max="16384" width="9.140625" style="47" customWidth="1"/>
  </cols>
  <sheetData>
    <row r="1" ht="12" thickBot="1"/>
    <row r="2" spans="1:3" ht="24" customHeight="1" thickBot="1" thickTop="1">
      <c r="A2" s="474" t="s">
        <v>190</v>
      </c>
      <c r="B2" s="457"/>
      <c r="C2" s="458"/>
    </row>
    <row r="3" spans="1:17" ht="19.5" customHeight="1" thickTop="1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</row>
    <row r="4" ht="18">
      <c r="B4" s="464" t="s">
        <v>217</v>
      </c>
    </row>
    <row r="5" ht="18">
      <c r="B5" s="464" t="s">
        <v>218</v>
      </c>
    </row>
    <row r="6" ht="18">
      <c r="B6" s="464" t="s">
        <v>219</v>
      </c>
    </row>
    <row r="7" s="554" customFormat="1" ht="12.75"/>
    <row r="8" s="554" customFormat="1" ht="12.75"/>
    <row r="9" spans="2:15" s="554" customFormat="1" ht="18">
      <c r="B9" s="555" t="s">
        <v>291</v>
      </c>
      <c r="O9" s="556" t="s">
        <v>292</v>
      </c>
    </row>
    <row r="10" s="554" customFormat="1" ht="13.5" thickBot="1"/>
    <row r="11" spans="2:16" s="554" customFormat="1" ht="102.75" thickBot="1">
      <c r="B11" s="557" t="s">
        <v>205</v>
      </c>
      <c r="C11" s="558" t="s">
        <v>18</v>
      </c>
      <c r="D11" s="558" t="s">
        <v>293</v>
      </c>
      <c r="E11" s="558" t="s">
        <v>294</v>
      </c>
      <c r="F11" s="558" t="s">
        <v>295</v>
      </c>
      <c r="G11" s="558" t="s">
        <v>296</v>
      </c>
      <c r="H11" s="558" t="s">
        <v>297</v>
      </c>
      <c r="I11" s="558" t="s">
        <v>298</v>
      </c>
      <c r="J11" s="558" t="s">
        <v>299</v>
      </c>
      <c r="K11" s="558" t="s">
        <v>300</v>
      </c>
      <c r="L11" s="558" t="s">
        <v>301</v>
      </c>
      <c r="M11" s="558" t="s">
        <v>302</v>
      </c>
      <c r="N11" s="558" t="s">
        <v>303</v>
      </c>
      <c r="O11" s="558" t="s">
        <v>304</v>
      </c>
      <c r="P11" s="559" t="s">
        <v>305</v>
      </c>
    </row>
    <row r="12" spans="2:16" s="554" customFormat="1" ht="13.5" thickBot="1">
      <c r="B12" s="560"/>
      <c r="C12" s="561"/>
      <c r="D12" s="561"/>
      <c r="E12" s="561"/>
      <c r="F12" s="561"/>
      <c r="G12" s="561" t="s">
        <v>306</v>
      </c>
      <c r="H12" s="561"/>
      <c r="I12" s="561"/>
      <c r="J12" s="561" t="s">
        <v>306</v>
      </c>
      <c r="K12" s="561" t="s">
        <v>19</v>
      </c>
      <c r="L12" s="561" t="s">
        <v>141</v>
      </c>
      <c r="M12" s="561" t="s">
        <v>229</v>
      </c>
      <c r="N12" s="561" t="str">
        <f>+M12</f>
        <v>Гкал/год</v>
      </c>
      <c r="O12" s="561" t="s">
        <v>307</v>
      </c>
      <c r="P12" s="562" t="s">
        <v>308</v>
      </c>
    </row>
    <row r="13" spans="2:16" s="554" customFormat="1" ht="12.75">
      <c r="B13" s="563">
        <v>1</v>
      </c>
      <c r="C13" s="564" t="s">
        <v>309</v>
      </c>
      <c r="D13" s="565"/>
      <c r="E13" s="566"/>
      <c r="F13" s="566"/>
      <c r="G13" s="567"/>
      <c r="H13" s="567"/>
      <c r="I13" s="568"/>
      <c r="J13" s="567"/>
      <c r="K13" s="567"/>
      <c r="L13" s="567"/>
      <c r="M13" s="568"/>
      <c r="N13" s="568"/>
      <c r="O13" s="567"/>
      <c r="P13" s="569"/>
    </row>
    <row r="14" spans="2:16" s="554" customFormat="1" ht="12.75">
      <c r="B14" s="570">
        <f>B13+1</f>
        <v>2</v>
      </c>
      <c r="C14" s="571" t="s">
        <v>309</v>
      </c>
      <c r="D14" s="572"/>
      <c r="E14" s="573"/>
      <c r="F14" s="573"/>
      <c r="G14" s="574"/>
      <c r="H14" s="574"/>
      <c r="I14" s="575"/>
      <c r="J14" s="574"/>
      <c r="K14" s="574"/>
      <c r="L14" s="574"/>
      <c r="M14" s="575"/>
      <c r="N14" s="575"/>
      <c r="O14" s="574"/>
      <c r="P14" s="576"/>
    </row>
    <row r="15" spans="2:16" s="554" customFormat="1" ht="12.75">
      <c r="B15" s="570">
        <f aca="true" t="shared" si="0" ref="B15:B24">B14+1</f>
        <v>3</v>
      </c>
      <c r="C15" s="571" t="s">
        <v>309</v>
      </c>
      <c r="D15" s="572"/>
      <c r="E15" s="573"/>
      <c r="F15" s="573"/>
      <c r="G15" s="574"/>
      <c r="H15" s="574"/>
      <c r="I15" s="575"/>
      <c r="J15" s="574"/>
      <c r="K15" s="574"/>
      <c r="L15" s="574"/>
      <c r="M15" s="575"/>
      <c r="N15" s="575"/>
      <c r="O15" s="574"/>
      <c r="P15" s="576"/>
    </row>
    <row r="16" spans="2:16" s="554" customFormat="1" ht="12.75">
      <c r="B16" s="570">
        <f t="shared" si="0"/>
        <v>4</v>
      </c>
      <c r="C16" s="572"/>
      <c r="D16" s="572"/>
      <c r="E16" s="573"/>
      <c r="F16" s="573"/>
      <c r="G16" s="574"/>
      <c r="H16" s="574"/>
      <c r="I16" s="575"/>
      <c r="J16" s="574"/>
      <c r="K16" s="574"/>
      <c r="L16" s="574"/>
      <c r="M16" s="575"/>
      <c r="N16" s="575"/>
      <c r="O16" s="574"/>
      <c r="P16" s="576"/>
    </row>
    <row r="17" spans="2:16" s="554" customFormat="1" ht="12.75">
      <c r="B17" s="570">
        <f t="shared" si="0"/>
        <v>5</v>
      </c>
      <c r="C17" s="572"/>
      <c r="D17" s="572"/>
      <c r="E17" s="573"/>
      <c r="F17" s="573"/>
      <c r="G17" s="574"/>
      <c r="H17" s="574"/>
      <c r="I17" s="575"/>
      <c r="J17" s="574"/>
      <c r="K17" s="574"/>
      <c r="L17" s="574"/>
      <c r="M17" s="575"/>
      <c r="N17" s="575"/>
      <c r="O17" s="574"/>
      <c r="P17" s="576"/>
    </row>
    <row r="18" spans="2:16" s="554" customFormat="1" ht="12.75">
      <c r="B18" s="570">
        <f t="shared" si="0"/>
        <v>6</v>
      </c>
      <c r="C18" s="572"/>
      <c r="D18" s="572"/>
      <c r="E18" s="573"/>
      <c r="F18" s="573"/>
      <c r="G18" s="574"/>
      <c r="H18" s="574"/>
      <c r="I18" s="575"/>
      <c r="J18" s="574"/>
      <c r="K18" s="574"/>
      <c r="L18" s="574"/>
      <c r="M18" s="575"/>
      <c r="N18" s="575"/>
      <c r="O18" s="574"/>
      <c r="P18" s="576"/>
    </row>
    <row r="19" spans="2:16" s="554" customFormat="1" ht="12.75">
      <c r="B19" s="570">
        <f t="shared" si="0"/>
        <v>7</v>
      </c>
      <c r="C19" s="572"/>
      <c r="D19" s="572"/>
      <c r="E19" s="573"/>
      <c r="F19" s="573"/>
      <c r="G19" s="574"/>
      <c r="H19" s="574"/>
      <c r="I19" s="575"/>
      <c r="J19" s="574"/>
      <c r="K19" s="574"/>
      <c r="L19" s="574"/>
      <c r="M19" s="575"/>
      <c r="N19" s="575"/>
      <c r="O19" s="574"/>
      <c r="P19" s="576"/>
    </row>
    <row r="20" spans="2:16" s="554" customFormat="1" ht="12.75">
      <c r="B20" s="570">
        <f t="shared" si="0"/>
        <v>8</v>
      </c>
      <c r="C20" s="572"/>
      <c r="D20" s="572"/>
      <c r="E20" s="573"/>
      <c r="F20" s="573"/>
      <c r="G20" s="574"/>
      <c r="H20" s="574"/>
      <c r="I20" s="575"/>
      <c r="J20" s="574"/>
      <c r="K20" s="574"/>
      <c r="L20" s="574"/>
      <c r="M20" s="575"/>
      <c r="N20" s="575"/>
      <c r="O20" s="574"/>
      <c r="P20" s="576"/>
    </row>
    <row r="21" spans="2:16" s="554" customFormat="1" ht="12.75">
      <c r="B21" s="570">
        <f t="shared" si="0"/>
        <v>9</v>
      </c>
      <c r="C21" s="572"/>
      <c r="D21" s="572"/>
      <c r="E21" s="573"/>
      <c r="F21" s="573"/>
      <c r="G21" s="574"/>
      <c r="H21" s="574"/>
      <c r="I21" s="575"/>
      <c r="J21" s="574"/>
      <c r="K21" s="574"/>
      <c r="L21" s="574"/>
      <c r="M21" s="575"/>
      <c r="N21" s="575"/>
      <c r="O21" s="574"/>
      <c r="P21" s="576"/>
    </row>
    <row r="22" spans="2:16" s="554" customFormat="1" ht="12.75">
      <c r="B22" s="570">
        <f t="shared" si="0"/>
        <v>10</v>
      </c>
      <c r="C22" s="572"/>
      <c r="D22" s="572"/>
      <c r="E22" s="573"/>
      <c r="F22" s="573"/>
      <c r="G22" s="574"/>
      <c r="H22" s="574"/>
      <c r="I22" s="575"/>
      <c r="J22" s="574"/>
      <c r="K22" s="574"/>
      <c r="L22" s="574"/>
      <c r="M22" s="575"/>
      <c r="N22" s="575"/>
      <c r="O22" s="574"/>
      <c r="P22" s="576"/>
    </row>
    <row r="23" spans="2:16" s="554" customFormat="1" ht="12.75">
      <c r="B23" s="570">
        <f t="shared" si="0"/>
        <v>11</v>
      </c>
      <c r="C23" s="572"/>
      <c r="D23" s="572"/>
      <c r="E23" s="573"/>
      <c r="F23" s="573"/>
      <c r="G23" s="574"/>
      <c r="H23" s="574"/>
      <c r="I23" s="575"/>
      <c r="J23" s="574"/>
      <c r="K23" s="574"/>
      <c r="L23" s="574"/>
      <c r="M23" s="575"/>
      <c r="N23" s="575"/>
      <c r="O23" s="574"/>
      <c r="P23" s="576"/>
    </row>
    <row r="24" spans="2:16" s="554" customFormat="1" ht="13.5" thickBot="1">
      <c r="B24" s="577">
        <f t="shared" si="0"/>
        <v>12</v>
      </c>
      <c r="C24" s="578"/>
      <c r="D24" s="578"/>
      <c r="E24" s="579"/>
      <c r="F24" s="579"/>
      <c r="G24" s="580"/>
      <c r="H24" s="580"/>
      <c r="I24" s="581"/>
      <c r="J24" s="580"/>
      <c r="K24" s="580"/>
      <c r="L24" s="580"/>
      <c r="M24" s="581"/>
      <c r="N24" s="581"/>
      <c r="O24" s="580"/>
      <c r="P24" s="582"/>
    </row>
    <row r="25" s="554" customFormat="1" ht="12.75"/>
    <row r="26" spans="2:12" s="554" customFormat="1" ht="18">
      <c r="B26" s="555" t="s">
        <v>310</v>
      </c>
      <c r="L26" s="556" t="s">
        <v>311</v>
      </c>
    </row>
    <row r="27" s="554" customFormat="1" ht="13.5" thickBot="1"/>
    <row r="28" spans="2:12" s="554" customFormat="1" ht="90" thickBot="1">
      <c r="B28" s="557" t="s">
        <v>205</v>
      </c>
      <c r="C28" s="558" t="s">
        <v>312</v>
      </c>
      <c r="D28" s="558" t="s">
        <v>293</v>
      </c>
      <c r="E28" s="558" t="s">
        <v>296</v>
      </c>
      <c r="F28" s="558" t="s">
        <v>299</v>
      </c>
      <c r="G28" s="558" t="s">
        <v>313</v>
      </c>
      <c r="H28" s="558" t="s">
        <v>314</v>
      </c>
      <c r="I28" s="558" t="s">
        <v>315</v>
      </c>
      <c r="J28" s="558" t="s">
        <v>316</v>
      </c>
      <c r="K28" s="558" t="s">
        <v>317</v>
      </c>
      <c r="L28" s="559" t="s">
        <v>305</v>
      </c>
    </row>
    <row r="29" spans="2:12" s="554" customFormat="1" ht="15" thickBot="1">
      <c r="B29" s="560"/>
      <c r="C29" s="561"/>
      <c r="D29" s="561"/>
      <c r="E29" s="561" t="s">
        <v>306</v>
      </c>
      <c r="F29" s="561" t="s">
        <v>306</v>
      </c>
      <c r="G29" s="561" t="s">
        <v>318</v>
      </c>
      <c r="H29" s="561" t="s">
        <v>319</v>
      </c>
      <c r="I29" s="561" t="s">
        <v>320</v>
      </c>
      <c r="J29" s="561" t="s">
        <v>321</v>
      </c>
      <c r="K29" s="561" t="s">
        <v>322</v>
      </c>
      <c r="L29" s="562" t="s">
        <v>308</v>
      </c>
    </row>
    <row r="30" spans="2:12" s="554" customFormat="1" ht="12.75">
      <c r="B30" s="563">
        <f>B29+1</f>
        <v>1</v>
      </c>
      <c r="C30" s="583"/>
      <c r="D30" s="583"/>
      <c r="E30" s="583"/>
      <c r="F30" s="583"/>
      <c r="G30" s="583"/>
      <c r="H30" s="568"/>
      <c r="I30" s="568"/>
      <c r="J30" s="568"/>
      <c r="K30" s="568"/>
      <c r="L30" s="569"/>
    </row>
    <row r="31" spans="2:12" s="554" customFormat="1" ht="12.75">
      <c r="B31" s="570">
        <f aca="true" t="shared" si="1" ref="B31:B41">B30+1</f>
        <v>2</v>
      </c>
      <c r="C31" s="573"/>
      <c r="D31" s="573"/>
      <c r="E31" s="574"/>
      <c r="F31" s="584"/>
      <c r="G31" s="574"/>
      <c r="H31" s="575"/>
      <c r="I31" s="575"/>
      <c r="J31" s="575"/>
      <c r="K31" s="575"/>
      <c r="L31" s="576"/>
    </row>
    <row r="32" spans="2:12" s="554" customFormat="1" ht="12.75">
      <c r="B32" s="570">
        <f t="shared" si="1"/>
        <v>3</v>
      </c>
      <c r="C32" s="573"/>
      <c r="D32" s="573"/>
      <c r="E32" s="574"/>
      <c r="F32" s="584"/>
      <c r="G32" s="574"/>
      <c r="H32" s="575"/>
      <c r="I32" s="575"/>
      <c r="J32" s="575"/>
      <c r="K32" s="575"/>
      <c r="L32" s="576"/>
    </row>
    <row r="33" spans="2:12" s="554" customFormat="1" ht="12.75">
      <c r="B33" s="570">
        <f t="shared" si="1"/>
        <v>4</v>
      </c>
      <c r="C33" s="573"/>
      <c r="D33" s="573"/>
      <c r="E33" s="574"/>
      <c r="F33" s="584"/>
      <c r="G33" s="574"/>
      <c r="H33" s="575"/>
      <c r="I33" s="575"/>
      <c r="J33" s="575"/>
      <c r="K33" s="575"/>
      <c r="L33" s="576"/>
    </row>
    <row r="34" spans="2:12" s="554" customFormat="1" ht="12.75">
      <c r="B34" s="570">
        <f t="shared" si="1"/>
        <v>5</v>
      </c>
      <c r="C34" s="573"/>
      <c r="D34" s="573"/>
      <c r="E34" s="574"/>
      <c r="F34" s="584"/>
      <c r="G34" s="574"/>
      <c r="H34" s="575"/>
      <c r="I34" s="575"/>
      <c r="J34" s="575"/>
      <c r="K34" s="575"/>
      <c r="L34" s="576"/>
    </row>
    <row r="35" spans="2:12" s="554" customFormat="1" ht="12.75">
      <c r="B35" s="570">
        <f t="shared" si="1"/>
        <v>6</v>
      </c>
      <c r="C35" s="573"/>
      <c r="D35" s="573"/>
      <c r="E35" s="574"/>
      <c r="F35" s="584"/>
      <c r="G35" s="574"/>
      <c r="H35" s="575"/>
      <c r="I35" s="575"/>
      <c r="J35" s="575"/>
      <c r="K35" s="575"/>
      <c r="L35" s="576"/>
    </row>
    <row r="36" spans="2:12" s="554" customFormat="1" ht="12.75">
      <c r="B36" s="570">
        <f t="shared" si="1"/>
        <v>7</v>
      </c>
      <c r="C36" s="573"/>
      <c r="D36" s="573"/>
      <c r="E36" s="574"/>
      <c r="F36" s="584"/>
      <c r="G36" s="574"/>
      <c r="H36" s="575"/>
      <c r="I36" s="575"/>
      <c r="J36" s="575"/>
      <c r="K36" s="575"/>
      <c r="L36" s="576"/>
    </row>
    <row r="37" spans="2:12" s="554" customFormat="1" ht="12.75">
      <c r="B37" s="570">
        <f t="shared" si="1"/>
        <v>8</v>
      </c>
      <c r="C37" s="573"/>
      <c r="D37" s="573"/>
      <c r="E37" s="574"/>
      <c r="F37" s="584"/>
      <c r="G37" s="574"/>
      <c r="H37" s="575"/>
      <c r="I37" s="575"/>
      <c r="J37" s="575"/>
      <c r="K37" s="575"/>
      <c r="L37" s="576"/>
    </row>
    <row r="38" spans="2:12" s="554" customFormat="1" ht="12.75">
      <c r="B38" s="570">
        <f t="shared" si="1"/>
        <v>9</v>
      </c>
      <c r="C38" s="573"/>
      <c r="D38" s="573"/>
      <c r="E38" s="574"/>
      <c r="F38" s="574"/>
      <c r="G38" s="574"/>
      <c r="H38" s="575"/>
      <c r="I38" s="575"/>
      <c r="J38" s="575"/>
      <c r="K38" s="575"/>
      <c r="L38" s="576"/>
    </row>
    <row r="39" spans="2:12" s="554" customFormat="1" ht="12.75">
      <c r="B39" s="570">
        <f t="shared" si="1"/>
        <v>10</v>
      </c>
      <c r="C39" s="573"/>
      <c r="D39" s="573"/>
      <c r="E39" s="574"/>
      <c r="F39" s="574"/>
      <c r="G39" s="574"/>
      <c r="H39" s="575"/>
      <c r="I39" s="575"/>
      <c r="J39" s="575"/>
      <c r="K39" s="575"/>
      <c r="L39" s="576"/>
    </row>
    <row r="40" spans="2:12" s="554" customFormat="1" ht="12.75">
      <c r="B40" s="570">
        <f t="shared" si="1"/>
        <v>11</v>
      </c>
      <c r="C40" s="573"/>
      <c r="D40" s="573"/>
      <c r="E40" s="574"/>
      <c r="F40" s="574"/>
      <c r="G40" s="574"/>
      <c r="H40" s="575"/>
      <c r="I40" s="575"/>
      <c r="J40" s="575"/>
      <c r="K40" s="575"/>
      <c r="L40" s="576"/>
    </row>
    <row r="41" spans="2:12" s="554" customFormat="1" ht="13.5" thickBot="1">
      <c r="B41" s="577">
        <f t="shared" si="1"/>
        <v>12</v>
      </c>
      <c r="C41" s="579"/>
      <c r="D41" s="579"/>
      <c r="E41" s="580"/>
      <c r="F41" s="580"/>
      <c r="G41" s="580"/>
      <c r="H41" s="581"/>
      <c r="I41" s="581"/>
      <c r="J41" s="581"/>
      <c r="K41" s="581"/>
      <c r="L41" s="582"/>
    </row>
    <row r="42" s="554" customFormat="1" ht="12.75"/>
    <row r="43" spans="2:12" s="554" customFormat="1" ht="18">
      <c r="B43" s="585" t="s">
        <v>323</v>
      </c>
      <c r="L43" s="556" t="s">
        <v>324</v>
      </c>
    </row>
    <row r="44" s="554" customFormat="1" ht="13.5" thickBot="1">
      <c r="B44" s="586"/>
    </row>
    <row r="45" spans="2:12" s="554" customFormat="1" ht="90" thickBot="1">
      <c r="B45" s="557" t="s">
        <v>205</v>
      </c>
      <c r="C45" s="558" t="s">
        <v>325</v>
      </c>
      <c r="D45" s="558" t="s">
        <v>293</v>
      </c>
      <c r="E45" s="558" t="s">
        <v>296</v>
      </c>
      <c r="F45" s="558" t="s">
        <v>299</v>
      </c>
      <c r="G45" s="558" t="s">
        <v>313</v>
      </c>
      <c r="H45" s="558" t="s">
        <v>326</v>
      </c>
      <c r="I45" s="558" t="s">
        <v>315</v>
      </c>
      <c r="J45" s="558" t="s">
        <v>316</v>
      </c>
      <c r="K45" s="558" t="s">
        <v>327</v>
      </c>
      <c r="L45" s="559" t="s">
        <v>305</v>
      </c>
    </row>
    <row r="46" spans="2:12" s="554" customFormat="1" ht="15" thickBot="1">
      <c r="B46" s="560"/>
      <c r="C46" s="561"/>
      <c r="D46" s="561"/>
      <c r="E46" s="561" t="s">
        <v>306</v>
      </c>
      <c r="F46" s="561" t="s">
        <v>306</v>
      </c>
      <c r="G46" s="561" t="s">
        <v>318</v>
      </c>
      <c r="H46" s="561" t="s">
        <v>319</v>
      </c>
      <c r="I46" s="561" t="s">
        <v>320</v>
      </c>
      <c r="J46" s="561" t="s">
        <v>321</v>
      </c>
      <c r="K46" s="561" t="s">
        <v>328</v>
      </c>
      <c r="L46" s="562" t="s">
        <v>308</v>
      </c>
    </row>
    <row r="47" spans="2:12" s="554" customFormat="1" ht="12.75">
      <c r="B47" s="563">
        <v>1</v>
      </c>
      <c r="C47" s="583"/>
      <c r="D47" s="583"/>
      <c r="E47" s="583"/>
      <c r="F47" s="583"/>
      <c r="G47" s="583"/>
      <c r="H47" s="583"/>
      <c r="I47" s="583"/>
      <c r="J47" s="583"/>
      <c r="K47" s="583"/>
      <c r="L47" s="587"/>
    </row>
    <row r="48" spans="2:12" s="554" customFormat="1" ht="12.75">
      <c r="B48" s="570">
        <f>B47+1</f>
        <v>2</v>
      </c>
      <c r="C48" s="588"/>
      <c r="D48" s="588"/>
      <c r="E48" s="588"/>
      <c r="F48" s="588"/>
      <c r="G48" s="588"/>
      <c r="H48" s="588"/>
      <c r="I48" s="588"/>
      <c r="J48" s="588"/>
      <c r="K48" s="588"/>
      <c r="L48" s="589"/>
    </row>
    <row r="49" spans="2:12" s="554" customFormat="1" ht="12.75">
      <c r="B49" s="570">
        <f aca="true" t="shared" si="2" ref="B49:B58">B48+1</f>
        <v>3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9"/>
    </row>
    <row r="50" spans="2:12" s="554" customFormat="1" ht="12.75">
      <c r="B50" s="570">
        <f t="shared" si="2"/>
        <v>4</v>
      </c>
      <c r="C50" s="588"/>
      <c r="D50" s="588"/>
      <c r="E50" s="588"/>
      <c r="F50" s="588"/>
      <c r="G50" s="588"/>
      <c r="H50" s="588"/>
      <c r="I50" s="588"/>
      <c r="J50" s="588"/>
      <c r="K50" s="588"/>
      <c r="L50" s="589"/>
    </row>
    <row r="51" spans="2:12" s="554" customFormat="1" ht="12.75">
      <c r="B51" s="570">
        <f t="shared" si="2"/>
        <v>5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9"/>
    </row>
    <row r="52" spans="2:12" s="554" customFormat="1" ht="12.75">
      <c r="B52" s="570">
        <f t="shared" si="2"/>
        <v>6</v>
      </c>
      <c r="C52" s="588"/>
      <c r="D52" s="588"/>
      <c r="E52" s="588"/>
      <c r="F52" s="588"/>
      <c r="G52" s="588"/>
      <c r="H52" s="588"/>
      <c r="I52" s="588"/>
      <c r="J52" s="588"/>
      <c r="K52" s="588"/>
      <c r="L52" s="589"/>
    </row>
    <row r="53" spans="2:12" s="554" customFormat="1" ht="12.75">
      <c r="B53" s="570">
        <f t="shared" si="2"/>
        <v>7</v>
      </c>
      <c r="C53" s="588"/>
      <c r="D53" s="588"/>
      <c r="E53" s="588"/>
      <c r="F53" s="588"/>
      <c r="G53" s="588"/>
      <c r="H53" s="588"/>
      <c r="I53" s="588"/>
      <c r="J53" s="588"/>
      <c r="K53" s="588"/>
      <c r="L53" s="589"/>
    </row>
    <row r="54" spans="2:12" s="554" customFormat="1" ht="12.75">
      <c r="B54" s="570">
        <f t="shared" si="2"/>
        <v>8</v>
      </c>
      <c r="C54" s="573"/>
      <c r="D54" s="573"/>
      <c r="E54" s="574"/>
      <c r="F54" s="574"/>
      <c r="G54" s="574"/>
      <c r="H54" s="575"/>
      <c r="I54" s="575"/>
      <c r="J54" s="575"/>
      <c r="K54" s="575"/>
      <c r="L54" s="576"/>
    </row>
    <row r="55" spans="2:12" s="554" customFormat="1" ht="12.75">
      <c r="B55" s="570">
        <f t="shared" si="2"/>
        <v>9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90"/>
    </row>
    <row r="56" spans="2:12" s="554" customFormat="1" ht="12.75">
      <c r="B56" s="570">
        <f t="shared" si="2"/>
        <v>10</v>
      </c>
      <c r="C56" s="573"/>
      <c r="D56" s="573"/>
      <c r="E56" s="573"/>
      <c r="F56" s="573"/>
      <c r="G56" s="573"/>
      <c r="H56" s="573"/>
      <c r="I56" s="573"/>
      <c r="J56" s="573"/>
      <c r="K56" s="573"/>
      <c r="L56" s="590"/>
    </row>
    <row r="57" spans="2:12" s="554" customFormat="1" ht="12.75">
      <c r="B57" s="570">
        <f t="shared" si="2"/>
        <v>11</v>
      </c>
      <c r="C57" s="573"/>
      <c r="D57" s="573"/>
      <c r="E57" s="573"/>
      <c r="F57" s="573"/>
      <c r="G57" s="573"/>
      <c r="H57" s="573"/>
      <c r="I57" s="573"/>
      <c r="J57" s="573"/>
      <c r="K57" s="573"/>
      <c r="L57" s="590"/>
    </row>
    <row r="58" spans="2:12" s="554" customFormat="1" ht="13.5" thickBot="1">
      <c r="B58" s="577">
        <f t="shared" si="2"/>
        <v>12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91"/>
    </row>
    <row r="59" s="554" customFormat="1" ht="12.75">
      <c r="B59" s="586"/>
    </row>
    <row r="60" s="554" customFormat="1" ht="12.75"/>
  </sheetData>
  <mergeCells count="2">
    <mergeCell ref="A2:C2"/>
    <mergeCell ref="A3:Q3"/>
  </mergeCells>
  <hyperlinks>
    <hyperlink ref="A2" location="Оглавление!A1" display="Возврат в оглавление"/>
  </hyperlinks>
  <printOptions/>
  <pageMargins left="0.1968503937007874" right="0.2755905511811024" top="0.35433070866141736" bottom="0.35433070866141736" header="0.35433070866141736" footer="0.35433070866141736"/>
  <pageSetup blackAndWhite="1" fitToHeight="2" fitToWidth="1" horizontalDpi="360" verticalDpi="36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showGridLines="0" zoomScale="73" zoomScaleNormal="73" workbookViewId="0" topLeftCell="A1">
      <selection activeCell="A2" sqref="A2:C2"/>
    </sheetView>
  </sheetViews>
  <sheetFormatPr defaultColWidth="9.140625" defaultRowHeight="12.75"/>
  <cols>
    <col min="1" max="1" width="5.140625" style="2" bestFit="1" customWidth="1"/>
    <col min="2" max="3" width="11.421875" style="2" customWidth="1"/>
    <col min="4" max="4" width="10.421875" style="2" customWidth="1"/>
    <col min="5" max="5" width="10.140625" style="2" customWidth="1"/>
    <col min="6" max="6" width="11.28125" style="2" customWidth="1"/>
    <col min="7" max="18" width="10.7109375" style="2" customWidth="1"/>
    <col min="19" max="19" width="11.00390625" style="2" customWidth="1"/>
    <col min="20" max="16384" width="9.140625" style="2" customWidth="1"/>
  </cols>
  <sheetData>
    <row r="1" ht="8.25" customHeight="1" thickBot="1"/>
    <row r="2" spans="1:3" ht="22.5" customHeight="1" thickBot="1" thickTop="1">
      <c r="A2" s="474" t="s">
        <v>190</v>
      </c>
      <c r="B2" s="457"/>
      <c r="C2" s="458"/>
    </row>
    <row r="3" spans="1:19" ht="19.5" thickTop="1">
      <c r="A3" s="620" t="s">
        <v>31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</row>
    <row r="5" spans="1:19" ht="12.75" customHeight="1">
      <c r="A5" s="624" t="s">
        <v>17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</row>
    <row r="6" ht="13.5" thickBot="1"/>
    <row r="7" spans="1:19" ht="75" customHeight="1">
      <c r="A7" s="632" t="s">
        <v>13</v>
      </c>
      <c r="B7" s="621" t="s">
        <v>18</v>
      </c>
      <c r="C7" s="3" t="s">
        <v>26</v>
      </c>
      <c r="D7" s="3" t="s">
        <v>208</v>
      </c>
      <c r="E7" s="3" t="s">
        <v>153</v>
      </c>
      <c r="F7" s="406" t="s">
        <v>21</v>
      </c>
      <c r="G7" s="400" t="s">
        <v>0</v>
      </c>
      <c r="H7" s="4" t="s">
        <v>1</v>
      </c>
      <c r="I7" s="4" t="s">
        <v>2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4" t="s">
        <v>9</v>
      </c>
      <c r="Q7" s="4" t="s">
        <v>10</v>
      </c>
      <c r="R7" s="5" t="s">
        <v>11</v>
      </c>
      <c r="S7" s="6" t="s">
        <v>16</v>
      </c>
    </row>
    <row r="8" spans="1:19" ht="13.5" thickBot="1">
      <c r="A8" s="633"/>
      <c r="B8" s="622"/>
      <c r="C8" s="9" t="s">
        <v>19</v>
      </c>
      <c r="D8" s="9" t="s">
        <v>20</v>
      </c>
      <c r="E8" s="9"/>
      <c r="F8" s="396" t="s">
        <v>20</v>
      </c>
      <c r="G8" s="628" t="s">
        <v>22</v>
      </c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9"/>
      <c r="S8" s="7" t="s">
        <v>15</v>
      </c>
    </row>
    <row r="9" spans="1:19" ht="12.75">
      <c r="A9" s="24">
        <v>1</v>
      </c>
      <c r="B9" s="25" t="s">
        <v>32</v>
      </c>
      <c r="C9" s="26">
        <v>20</v>
      </c>
      <c r="D9" s="26">
        <v>10</v>
      </c>
      <c r="E9" s="26">
        <v>1</v>
      </c>
      <c r="F9" s="407">
        <v>1</v>
      </c>
      <c r="G9" s="401">
        <f>IF($D9&lt;12,0.3,0.65)*$C9*$E9*$F9</f>
        <v>6</v>
      </c>
      <c r="H9" s="31">
        <f aca="true" t="shared" si="0" ref="H9:R13">IF($D9&lt;12,0.3,0.65)*$C9*$E9*$F9</f>
        <v>6</v>
      </c>
      <c r="I9" s="31">
        <f t="shared" si="0"/>
        <v>6</v>
      </c>
      <c r="J9" s="31">
        <f t="shared" si="0"/>
        <v>6</v>
      </c>
      <c r="K9" s="31">
        <f t="shared" si="0"/>
        <v>6</v>
      </c>
      <c r="L9" s="31">
        <f t="shared" si="0"/>
        <v>6</v>
      </c>
      <c r="M9" s="31">
        <f t="shared" si="0"/>
        <v>6</v>
      </c>
      <c r="N9" s="31">
        <f t="shared" si="0"/>
        <v>6</v>
      </c>
      <c r="O9" s="31">
        <f t="shared" si="0"/>
        <v>6</v>
      </c>
      <c r="P9" s="31">
        <f t="shared" si="0"/>
        <v>6</v>
      </c>
      <c r="Q9" s="31">
        <f t="shared" si="0"/>
        <v>6</v>
      </c>
      <c r="R9" s="34">
        <f t="shared" si="0"/>
        <v>6</v>
      </c>
      <c r="S9" s="32">
        <f>SUM(G9:R9)</f>
        <v>72</v>
      </c>
    </row>
    <row r="10" spans="1:19" ht="12.75">
      <c r="A10" s="39">
        <f>A9+1</f>
        <v>2</v>
      </c>
      <c r="B10" s="20" t="s">
        <v>33</v>
      </c>
      <c r="C10" s="21">
        <v>25</v>
      </c>
      <c r="D10" s="21">
        <v>24</v>
      </c>
      <c r="E10" s="21">
        <v>0.5</v>
      </c>
      <c r="F10" s="408">
        <v>2</v>
      </c>
      <c r="G10" s="402">
        <f>IF($D10&lt;12,0.3,0.65)*$C10*$E10*$F10</f>
        <v>16.25</v>
      </c>
      <c r="H10" s="18">
        <f t="shared" si="0"/>
        <v>16.25</v>
      </c>
      <c r="I10" s="18">
        <f t="shared" si="0"/>
        <v>16.25</v>
      </c>
      <c r="J10" s="18">
        <f t="shared" si="0"/>
        <v>16.25</v>
      </c>
      <c r="K10" s="18">
        <f t="shared" si="0"/>
        <v>16.25</v>
      </c>
      <c r="L10" s="18">
        <f t="shared" si="0"/>
        <v>16.25</v>
      </c>
      <c r="M10" s="18">
        <f t="shared" si="0"/>
        <v>16.25</v>
      </c>
      <c r="N10" s="18">
        <f t="shared" si="0"/>
        <v>16.25</v>
      </c>
      <c r="O10" s="18">
        <f t="shared" si="0"/>
        <v>16.25</v>
      </c>
      <c r="P10" s="18">
        <f t="shared" si="0"/>
        <v>16.25</v>
      </c>
      <c r="Q10" s="18">
        <f t="shared" si="0"/>
        <v>16.25</v>
      </c>
      <c r="R10" s="35">
        <f t="shared" si="0"/>
        <v>16.25</v>
      </c>
      <c r="S10" s="19">
        <f>SUM(G10:R10)</f>
        <v>195</v>
      </c>
    </row>
    <row r="11" spans="1:19" ht="12.75">
      <c r="A11" s="39">
        <f>A10+1</f>
        <v>3</v>
      </c>
      <c r="B11" s="20"/>
      <c r="C11" s="21"/>
      <c r="D11" s="21"/>
      <c r="E11" s="21"/>
      <c r="F11" s="408"/>
      <c r="G11" s="402">
        <f>IF($D11&lt;12,0.3,0.65)*$C11*$E11*$F11</f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35">
        <f t="shared" si="0"/>
        <v>0</v>
      </c>
      <c r="S11" s="19">
        <f>SUM(G11:R11)</f>
        <v>0</v>
      </c>
    </row>
    <row r="12" spans="1:19" ht="12.75">
      <c r="A12" s="39">
        <f>A11+1</f>
        <v>4</v>
      </c>
      <c r="B12" s="20"/>
      <c r="C12" s="21"/>
      <c r="D12" s="21"/>
      <c r="E12" s="21"/>
      <c r="F12" s="408"/>
      <c r="G12" s="402">
        <f>IF($D12&lt;12,0.3,0.65)*$C12*$E12*$F12</f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35">
        <f t="shared" si="0"/>
        <v>0</v>
      </c>
      <c r="S12" s="19">
        <f>SUM(G12:R12)</f>
        <v>0</v>
      </c>
    </row>
    <row r="13" spans="1:19" ht="13.5" thickBot="1">
      <c r="A13" s="63">
        <f>A12+1</f>
        <v>5</v>
      </c>
      <c r="B13" s="64"/>
      <c r="C13" s="45"/>
      <c r="D13" s="45"/>
      <c r="E13" s="45"/>
      <c r="F13" s="409"/>
      <c r="G13" s="402">
        <f>IF($D13&lt;12,0.3,0.65)*$C13*$E13*$F13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35">
        <f t="shared" si="0"/>
        <v>0</v>
      </c>
      <c r="S13" s="19">
        <f>SUM(G13:R13)</f>
        <v>0</v>
      </c>
    </row>
    <row r="14" spans="1:19" ht="4.5" customHeight="1" thickBot="1">
      <c r="A14" s="29"/>
      <c r="B14" s="36"/>
      <c r="C14" s="37"/>
      <c r="D14" s="37"/>
      <c r="E14" s="38"/>
      <c r="F14" s="38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0"/>
      <c r="S14" s="46"/>
    </row>
    <row r="15" spans="1:19" ht="13.5" thickBot="1">
      <c r="A15" s="33" t="s">
        <v>12</v>
      </c>
      <c r="B15" s="27"/>
      <c r="C15" s="630"/>
      <c r="D15" s="630"/>
      <c r="E15" s="630"/>
      <c r="F15" s="631"/>
      <c r="G15" s="15">
        <f aca="true" t="shared" si="1" ref="G15:S15">SUM(G9:G14)</f>
        <v>22.25</v>
      </c>
      <c r="H15" s="13">
        <f t="shared" si="1"/>
        <v>22.25</v>
      </c>
      <c r="I15" s="13">
        <f t="shared" si="1"/>
        <v>22.25</v>
      </c>
      <c r="J15" s="13">
        <f t="shared" si="1"/>
        <v>22.25</v>
      </c>
      <c r="K15" s="13">
        <f t="shared" si="1"/>
        <v>22.25</v>
      </c>
      <c r="L15" s="13">
        <f t="shared" si="1"/>
        <v>22.25</v>
      </c>
      <c r="M15" s="13">
        <f t="shared" si="1"/>
        <v>22.25</v>
      </c>
      <c r="N15" s="13">
        <f t="shared" si="1"/>
        <v>22.25</v>
      </c>
      <c r="O15" s="13">
        <f t="shared" si="1"/>
        <v>22.25</v>
      </c>
      <c r="P15" s="13">
        <f t="shared" si="1"/>
        <v>22.25</v>
      </c>
      <c r="Q15" s="13">
        <f t="shared" si="1"/>
        <v>22.25</v>
      </c>
      <c r="R15" s="16">
        <f t="shared" si="1"/>
        <v>22.25</v>
      </c>
      <c r="S15" s="8">
        <f t="shared" si="1"/>
        <v>267</v>
      </c>
    </row>
    <row r="16" spans="1:19" ht="6.75" customHeight="1">
      <c r="A16" s="228"/>
      <c r="B16" s="229"/>
      <c r="C16" s="229"/>
      <c r="D16" s="229"/>
      <c r="E16" s="229"/>
      <c r="F16" s="229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1"/>
    </row>
    <row r="17" spans="1:19" ht="12.75">
      <c r="A17" s="228"/>
      <c r="B17" s="235" t="s">
        <v>212</v>
      </c>
      <c r="C17" s="229"/>
      <c r="D17" s="229"/>
      <c r="E17" s="229"/>
      <c r="F17" s="229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1"/>
    </row>
    <row r="18" ht="18" customHeight="1"/>
    <row r="19" spans="1:19" ht="12.75" customHeight="1">
      <c r="A19" s="623" t="s">
        <v>23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</row>
    <row r="20" ht="13.5" thickBot="1"/>
    <row r="21" spans="1:19" ht="76.5" customHeight="1">
      <c r="A21" s="632" t="s">
        <v>13</v>
      </c>
      <c r="B21" s="621" t="s">
        <v>18</v>
      </c>
      <c r="C21" s="3" t="s">
        <v>26</v>
      </c>
      <c r="D21" s="3" t="s">
        <v>208</v>
      </c>
      <c r="E21" s="43" t="s">
        <v>153</v>
      </c>
      <c r="F21" s="395" t="s">
        <v>24</v>
      </c>
      <c r="G21" s="400" t="s">
        <v>0</v>
      </c>
      <c r="H21" s="4" t="s">
        <v>1</v>
      </c>
      <c r="I21" s="4" t="s">
        <v>2</v>
      </c>
      <c r="J21" s="4" t="s">
        <v>3</v>
      </c>
      <c r="K21" s="4" t="s">
        <v>4</v>
      </c>
      <c r="L21" s="4" t="s">
        <v>5</v>
      </c>
      <c r="M21" s="4" t="s">
        <v>6</v>
      </c>
      <c r="N21" s="4" t="s">
        <v>7</v>
      </c>
      <c r="O21" s="4" t="s">
        <v>8</v>
      </c>
      <c r="P21" s="4" t="s">
        <v>9</v>
      </c>
      <c r="Q21" s="4" t="s">
        <v>10</v>
      </c>
      <c r="R21" s="5" t="s">
        <v>11</v>
      </c>
      <c r="S21" s="6" t="s">
        <v>16</v>
      </c>
    </row>
    <row r="22" spans="1:19" ht="13.5" thickBot="1">
      <c r="A22" s="633"/>
      <c r="B22" s="622"/>
      <c r="C22" s="9" t="s">
        <v>19</v>
      </c>
      <c r="D22" s="9" t="s">
        <v>20</v>
      </c>
      <c r="E22" s="40"/>
      <c r="F22" s="396" t="s">
        <v>25</v>
      </c>
      <c r="G22" s="628" t="s">
        <v>22</v>
      </c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9"/>
      <c r="S22" s="7" t="s">
        <v>15</v>
      </c>
    </row>
    <row r="23" spans="1:19" ht="12.75">
      <c r="A23" s="24">
        <v>1</v>
      </c>
      <c r="B23" s="25" t="s">
        <v>27</v>
      </c>
      <c r="C23" s="26">
        <v>50</v>
      </c>
      <c r="D23" s="26">
        <v>24</v>
      </c>
      <c r="E23" s="41">
        <v>1</v>
      </c>
      <c r="F23" s="407">
        <v>1</v>
      </c>
      <c r="G23" s="403" t="e">
        <f>IF($C23=0,0,1)*IF($D23&lt;12,0.3,1)*IF($C23&gt;8,-0.0011*$C23^2+0.0259*$C23+2.5454,0.3664*$C23+1.3526)*$E23*IF('Параметры теплоносителя'!#REF!&gt;0,1,IF($F23=0,1,0))</f>
        <v>#REF!</v>
      </c>
      <c r="H23" s="31" t="e">
        <f>IF($C23=0,0,1)*IF($D23&lt;12,0.3,1)*IF($C23&gt;8,-0.0011*$C23^2+0.0259*$C23+2.5454,0.3664*$C23+1.3526)*$E23*IF('Параметры теплоносителя'!#REF!&gt;0,1,IF($F23=0,1,0))</f>
        <v>#REF!</v>
      </c>
      <c r="I23" s="31">
        <f>IF($C23=0,0,1)*IF($D23&lt;12,0.3,1)*IF($C23&gt;8,-0.0011*$C23^2+0.0259*$C23+2.5454,0.3664*$C23+1.3526)*$E23*IF('Параметры теплоносителя'!D$10&gt;0,1,IF($F23=0,1,0))</f>
        <v>0</v>
      </c>
      <c r="J23" s="31">
        <f>IF($C23=0,0,1)*IF($D23&lt;12,0.3,1)*IF($C23&gt;8,-0.0011*$C23^2+0.0259*$C23+2.5454,0.3664*$C23+1.3526)*$E23*IF('Параметры теплоносителя'!D$11&gt;0,1,IF($F23=0,1,0))</f>
        <v>0</v>
      </c>
      <c r="K23" s="31">
        <f>IF($C23=0,0,1)*IF($D23&lt;12,0.3,1)*IF($C23&gt;8,-0.0011*$C23^2+0.0259*$C23+2.5454,0.3664*$C23+1.3526)*$E23*IF('Параметры теплоносителя'!D$12&gt;0,1,IF($F23=0,1,0))</f>
        <v>1.0903999999999998</v>
      </c>
      <c r="L23" s="31">
        <f>IF($C23=0,0,1)*IF($D23&lt;12,0.3,1)*IF($C23&gt;8,-0.0011*$C23^2+0.0259*$C23+2.5454,0.3664*$C23+1.3526)*$E23*IF('Параметры теплоносителя'!D$13&gt;0,1,IF($F23=0,1,0))</f>
        <v>0</v>
      </c>
      <c r="M23" s="31">
        <f>IF($C23=0,0,1)*IF($D23&lt;12,0.3,1)*IF($C23&gt;8,-0.0011*$C23^2+0.0259*$C23+2.5454,0.3664*$C23+1.3526)*$E23*IF('Параметры теплоносителя'!D$14&gt;0,1,IF($F23=0,1,0))</f>
        <v>1.0903999999999998</v>
      </c>
      <c r="N23" s="31">
        <f>IF($C23=0,0,1)*IF($D23&lt;12,0.3,1)*IF($C23&gt;8,-0.0011*$C23^2+0.0259*$C23+2.5454,0.3664*$C23+1.3526)*$E23*IF('Параметры теплоносителя'!D$15&gt;0,1,IF($F23=0,1,0))</f>
        <v>1.0903999999999998</v>
      </c>
      <c r="O23" s="31">
        <f>IF($C23=0,0,1)*IF($D23&lt;12,0.3,1)*IF($C23&gt;8,-0.0011*$C23^2+0.0259*$C23+2.5454,0.3664*$C23+1.3526)*$E23*IF('Параметры теплоносителя'!D$16&gt;0,1,IF($F23=0,1,0))</f>
        <v>0</v>
      </c>
      <c r="P23" s="31">
        <f>IF($C23=0,0,1)*IF($D23&lt;12,0.3,1)*IF($C23&gt;8,-0.0011*$C23^2+0.0259*$C23+2.5454,0.3664*$C23+1.3526)*$E23*IF('Параметры теплоносителя'!D$17&gt;0,1,IF($F23=0,1,0))</f>
        <v>0</v>
      </c>
      <c r="Q23" s="31">
        <f>IF($C23=0,0,1)*IF($D23&lt;12,0.3,1)*IF($C23&gt;8,-0.0011*$C23^2+0.0259*$C23+2.5454,0.3664*$C23+1.3526)*$E23*IF('Параметры теплоносителя'!D$18&gt;0,1,IF($F23=0,1,0))</f>
        <v>0</v>
      </c>
      <c r="R23" s="34">
        <f>IF($C23=0,0,1)*IF($D23&lt;12,0.3,1)*IF($C23&gt;8,-0.0011*$C23^2+0.0259*$C23+2.5454,0.3664*$C23+1.3526)*$E23*IF('Параметры теплоносителя'!D$19&gt;0,1,IF($F23=0,1,0))</f>
        <v>0</v>
      </c>
      <c r="S23" s="32" t="e">
        <f>SUM(G23:R23)</f>
        <v>#REF!</v>
      </c>
    </row>
    <row r="24" spans="1:19" ht="12.75">
      <c r="A24" s="39">
        <f>A23+1</f>
        <v>2</v>
      </c>
      <c r="B24" s="20" t="s">
        <v>28</v>
      </c>
      <c r="C24" s="21">
        <v>10</v>
      </c>
      <c r="D24" s="21">
        <v>5</v>
      </c>
      <c r="E24" s="42">
        <v>1</v>
      </c>
      <c r="F24" s="410">
        <v>1</v>
      </c>
      <c r="G24" s="404" t="e">
        <f>IF($C24=0,0,1)*IF($D24&lt;12,0.3,1)*IF($C24&gt;8,-0.0011*$C24^2+0.0259*$C24+2.5454,0.3664*$C24+1.3526)*$E24*IF('Параметры теплоносителя'!#REF!&gt;0,1,IF($F24=0,1,0))</f>
        <v>#REF!</v>
      </c>
      <c r="H24" s="18" t="e">
        <f>IF($C24=0,0,1)*IF($D24&lt;12,0.3,1)*IF($C24&gt;8,-0.0011*$C24^2+0.0259*$C24+2.5454,0.3664*$C24+1.3526)*$E24*IF('Параметры теплоносителя'!#REF!&gt;0,1,IF($F24=0,1,0))</f>
        <v>#REF!</v>
      </c>
      <c r="I24" s="18">
        <f>IF($C24=0,0,1)*IF($D24&lt;12,0.3,1)*IF($C24&gt;8,-0.0011*$C24^2+0.0259*$C24+2.5454,0.3664*$C24+1.3526)*$E24*IF('Параметры теплоносителя'!D$10&gt;0,1,IF($F24=0,1,0))</f>
        <v>0</v>
      </c>
      <c r="J24" s="18">
        <f>IF($C24=0,0,1)*IF($D24&lt;12,0.3,1)*IF($C24&gt;8,-0.0011*$C24^2+0.0259*$C24+2.5454,0.3664*$C24+1.3526)*$E24*IF('Параметры теплоносителя'!D$11&gt;0,1,IF($F24=0,1,0))</f>
        <v>0</v>
      </c>
      <c r="K24" s="18">
        <f>IF($C24=0,0,1)*IF($D24&lt;12,0.3,1)*IF($C24&gt;8,-0.0011*$C24^2+0.0259*$C24+2.5454,0.3664*$C24+1.3526)*$E24*IF('Параметры теплоносителя'!D$12&gt;0,1,IF($F24=0,1,0))</f>
        <v>0.8083199999999999</v>
      </c>
      <c r="L24" s="18">
        <f>IF($C24=0,0,1)*IF($D24&lt;12,0.3,1)*IF($C24&gt;8,-0.0011*$C24^2+0.0259*$C24+2.5454,0.3664*$C24+1.3526)*$E24*IF('Параметры теплоносителя'!D$13&gt;0,1,IF($F24=0,1,0))</f>
        <v>0</v>
      </c>
      <c r="M24" s="18">
        <f>IF($C24=0,0,1)*IF($D24&lt;12,0.3,1)*IF($C24&gt;8,-0.0011*$C24^2+0.0259*$C24+2.5454,0.3664*$C24+1.3526)*$E24*IF('Параметры теплоносителя'!D$14&gt;0,1,IF($F24=0,1,0))</f>
        <v>0.8083199999999999</v>
      </c>
      <c r="N24" s="18">
        <f>IF($C24=0,0,1)*IF($D24&lt;12,0.3,1)*IF($C24&gt;8,-0.0011*$C24^2+0.0259*$C24+2.5454,0.3664*$C24+1.3526)*$E24*IF('Параметры теплоносителя'!D$15&gt;0,1,IF($F24=0,1,0))</f>
        <v>0.8083199999999999</v>
      </c>
      <c r="O24" s="18">
        <f>IF($C24=0,0,1)*IF($D24&lt;12,0.3,1)*IF($C24&gt;8,-0.0011*$C24^2+0.0259*$C24+2.5454,0.3664*$C24+1.3526)*$E24*IF('Параметры теплоносителя'!D$16&gt;0,1,IF($F24=0,1,0))</f>
        <v>0</v>
      </c>
      <c r="P24" s="18">
        <f>IF($C24=0,0,1)*IF($D24&lt;12,0.3,1)*IF($C24&gt;8,-0.0011*$C24^2+0.0259*$C24+2.5454,0.3664*$C24+1.3526)*$E24*IF('Параметры теплоносителя'!D$17&gt;0,1,IF($F24=0,1,0))</f>
        <v>0</v>
      </c>
      <c r="Q24" s="18">
        <f>IF($C24=0,0,1)*IF($D24&lt;12,0.3,1)*IF($C24&gt;8,-0.0011*$C24^2+0.0259*$C24+2.5454,0.3664*$C24+1.3526)*$E24*IF('Параметры теплоносителя'!D$18&gt;0,1,IF($F24=0,1,0))</f>
        <v>0</v>
      </c>
      <c r="R24" s="35">
        <f>IF($C24=0,0,1)*IF($D24&lt;12,0.3,1)*IF($C24&gt;8,-0.0011*$C24^2+0.0259*$C24+2.5454,0.3664*$C24+1.3526)*$E24*IF('Параметры теплоносителя'!D$19&gt;0,1,IF($F24=0,1,0))</f>
        <v>0</v>
      </c>
      <c r="S24" s="19" t="e">
        <f aca="true" t="shared" si="2" ref="S24:S32">SUM(G24:R24)</f>
        <v>#REF!</v>
      </c>
    </row>
    <row r="25" spans="1:19" ht="12.75">
      <c r="A25" s="39">
        <f aca="true" t="shared" si="3" ref="A25:A32">A24+1</f>
        <v>3</v>
      </c>
      <c r="B25" s="20" t="s">
        <v>29</v>
      </c>
      <c r="C25" s="21">
        <v>4</v>
      </c>
      <c r="D25" s="21">
        <v>15</v>
      </c>
      <c r="E25" s="42">
        <v>2</v>
      </c>
      <c r="F25" s="410">
        <v>0</v>
      </c>
      <c r="G25" s="402" t="e">
        <f>IF($C25=0,0,1)*IF($D25&lt;12,0.3,1)*IF($C25&gt;8,-0.0011*$C25^2+0.0259*$C25+2.5454,0.3664*$C25+1.3526)*$E25*IF('Параметры теплоносителя'!#REF!&gt;0,1,IF($F25=0,1,0))</f>
        <v>#REF!</v>
      </c>
      <c r="H25" s="18" t="e">
        <f>IF($C25=0,0,1)*IF($D25&lt;12,0.3,1)*IF($C25&gt;8,-0.0011*$C25^2+0.0259*$C25+2.5454,0.3664*$C25+1.3526)*$E25*IF('Параметры теплоносителя'!#REF!&gt;0,1,IF($F25=0,1,0))</f>
        <v>#REF!</v>
      </c>
      <c r="I25" s="18">
        <f>IF($C25=0,0,1)*IF($D25&lt;12,0.3,1)*IF($C25&gt;8,-0.0011*$C25^2+0.0259*$C25+2.5454,0.3664*$C25+1.3526)*$E25*IF('Параметры теплоносителя'!D$10&gt;0,1,IF($F25=0,1,0))</f>
        <v>5.6364</v>
      </c>
      <c r="J25" s="18">
        <f>IF($C25=0,0,1)*IF($D25&lt;12,0.3,1)*IF($C25&gt;8,-0.0011*$C25^2+0.0259*$C25+2.5454,0.3664*$C25+1.3526)*$E25*IF('Параметры теплоносителя'!D$11&gt;0,1,IF($F25=0,1,0))</f>
        <v>5.6364</v>
      </c>
      <c r="K25" s="18">
        <f>IF($C25=0,0,1)*IF($D25&lt;12,0.3,1)*IF($C25&gt;8,-0.0011*$C25^2+0.0259*$C25+2.5454,0.3664*$C25+1.3526)*$E25*IF('Параметры теплоносителя'!D$12&gt;0,1,IF($F25=0,1,0))</f>
        <v>5.6364</v>
      </c>
      <c r="L25" s="18">
        <f>IF($C25=0,0,1)*IF($D25&lt;12,0.3,1)*IF($C25&gt;8,-0.0011*$C25^2+0.0259*$C25+2.5454,0.3664*$C25+1.3526)*$E25*IF('Параметры теплоносителя'!D$13&gt;0,1,IF($F25=0,1,0))</f>
        <v>5.6364</v>
      </c>
      <c r="M25" s="18">
        <f>IF($C25=0,0,1)*IF($D25&lt;12,0.3,1)*IF($C25&gt;8,-0.0011*$C25^2+0.0259*$C25+2.5454,0.3664*$C25+1.3526)*$E25*IF('Параметры теплоносителя'!D$14&gt;0,1,IF($F25=0,1,0))</f>
        <v>5.6364</v>
      </c>
      <c r="N25" s="18">
        <f>IF($C25=0,0,1)*IF($D25&lt;12,0.3,1)*IF($C25&gt;8,-0.0011*$C25^2+0.0259*$C25+2.5454,0.3664*$C25+1.3526)*$E25*IF('Параметры теплоносителя'!D$15&gt;0,1,IF($F25=0,1,0))</f>
        <v>5.6364</v>
      </c>
      <c r="O25" s="18">
        <f>IF($C25=0,0,1)*IF($D25&lt;12,0.3,1)*IF($C25&gt;8,-0.0011*$C25^2+0.0259*$C25+2.5454,0.3664*$C25+1.3526)*$E25*IF('Параметры теплоносителя'!D$16&gt;0,1,IF($F25=0,1,0))</f>
        <v>5.6364</v>
      </c>
      <c r="P25" s="18">
        <f>IF($C25=0,0,1)*IF($D25&lt;12,0.3,1)*IF($C25&gt;8,-0.0011*$C25^2+0.0259*$C25+2.5454,0.3664*$C25+1.3526)*$E25*IF('Параметры теплоносителя'!D$17&gt;0,1,IF($F25=0,1,0))</f>
        <v>5.6364</v>
      </c>
      <c r="Q25" s="18">
        <f>IF($C25=0,0,1)*IF($D25&lt;12,0.3,1)*IF($C25&gt;8,-0.0011*$C25^2+0.0259*$C25+2.5454,0.3664*$C25+1.3526)*$E25*IF('Параметры теплоносителя'!D$18&gt;0,1,IF($F25=0,1,0))</f>
        <v>5.6364</v>
      </c>
      <c r="R25" s="35">
        <f>IF($C25=0,0,1)*IF($D25&lt;12,0.3,1)*IF($C25&gt;8,-0.0011*$C25^2+0.0259*$C25+2.5454,0.3664*$C25+1.3526)*$E25*IF('Параметры теплоносителя'!D$19&gt;0,1,IF($F25=0,1,0))</f>
        <v>5.6364</v>
      </c>
      <c r="S25" s="19" t="e">
        <f t="shared" si="2"/>
        <v>#REF!</v>
      </c>
    </row>
    <row r="26" spans="1:19" ht="12.75">
      <c r="A26" s="39">
        <f t="shared" si="3"/>
        <v>4</v>
      </c>
      <c r="B26" s="20"/>
      <c r="C26" s="21"/>
      <c r="D26" s="21"/>
      <c r="E26" s="42"/>
      <c r="F26" s="410"/>
      <c r="G26" s="402" t="e">
        <f>IF($C26=0,0,1)*IF($D26&lt;12,0.3,1)*IF($C26&gt;8,-0.0011*$C26^2+0.0259*$C26+2.5454,0.3664*$C26+1.3526)*$E26*IF('Параметры теплоносителя'!#REF!&gt;0,1,IF($F26=0,1,0))</f>
        <v>#REF!</v>
      </c>
      <c r="H26" s="18" t="e">
        <f>IF($C26=0,0,1)*IF($D26&lt;12,0.3,1)*IF($C26&gt;8,-0.0011*$C26^2+0.0259*$C26+2.5454,0.3664*$C26+1.3526)*$E26*IF('Параметры теплоносителя'!#REF!&gt;0,1,IF($F26=0,1,0))</f>
        <v>#REF!</v>
      </c>
      <c r="I26" s="18">
        <f>IF($C26=0,0,1)*IF($D26&lt;12,0.3,1)*IF($C26&gt;8,-0.0011*$C26^2+0.0259*$C26+2.5454,0.3664*$C26+1.3526)*$E26*IF('Параметры теплоносителя'!D$10&gt;0,1,IF($F26=0,1,0))</f>
        <v>0</v>
      </c>
      <c r="J26" s="18">
        <f>IF($C26=0,0,1)*IF($D26&lt;12,0.3,1)*IF($C26&gt;8,-0.0011*$C26^2+0.0259*$C26+2.5454,0.3664*$C26+1.3526)*$E26*IF('Параметры теплоносителя'!D$11&gt;0,1,IF($F26=0,1,0))</f>
        <v>0</v>
      </c>
      <c r="K26" s="18">
        <f>IF($C26=0,0,1)*IF($D26&lt;12,0.3,1)*IF($C26&gt;8,-0.0011*$C26^2+0.0259*$C26+2.5454,0.3664*$C26+1.3526)*$E26*IF('Параметры теплоносителя'!D$12&gt;0,1,IF($F26=0,1,0))</f>
        <v>0</v>
      </c>
      <c r="L26" s="18">
        <f>IF($C26=0,0,1)*IF($D26&lt;12,0.3,1)*IF($C26&gt;8,-0.0011*$C26^2+0.0259*$C26+2.5454,0.3664*$C26+1.3526)*$E26*IF('Параметры теплоносителя'!D$13&gt;0,1,IF($F26=0,1,0))</f>
        <v>0</v>
      </c>
      <c r="M26" s="18">
        <f>IF($C26=0,0,1)*IF($D26&lt;12,0.3,1)*IF($C26&gt;8,-0.0011*$C26^2+0.0259*$C26+2.5454,0.3664*$C26+1.3526)*$E26*IF('Параметры теплоносителя'!D$14&gt;0,1,IF($F26=0,1,0))</f>
        <v>0</v>
      </c>
      <c r="N26" s="18">
        <f>IF($C26=0,0,1)*IF($D26&lt;12,0.3,1)*IF($C26&gt;8,-0.0011*$C26^2+0.0259*$C26+2.5454,0.3664*$C26+1.3526)*$E26*IF('Параметры теплоносителя'!D$15&gt;0,1,IF($F26=0,1,0))</f>
        <v>0</v>
      </c>
      <c r="O26" s="18">
        <f>IF($C26=0,0,1)*IF($D26&lt;12,0.3,1)*IF($C26&gt;8,-0.0011*$C26^2+0.0259*$C26+2.5454,0.3664*$C26+1.3526)*$E26*IF('Параметры теплоносителя'!D$16&gt;0,1,IF($F26=0,1,0))</f>
        <v>0</v>
      </c>
      <c r="P26" s="18">
        <f>IF($C26=0,0,1)*IF($D26&lt;12,0.3,1)*IF($C26&gt;8,-0.0011*$C26^2+0.0259*$C26+2.5454,0.3664*$C26+1.3526)*$E26*IF('Параметры теплоносителя'!D$17&gt;0,1,IF($F26=0,1,0))</f>
        <v>0</v>
      </c>
      <c r="Q26" s="18">
        <f>IF($C26=0,0,1)*IF($D26&lt;12,0.3,1)*IF($C26&gt;8,-0.0011*$C26^2+0.0259*$C26+2.5454,0.3664*$C26+1.3526)*$E26*IF('Параметры теплоносителя'!D$18&gt;0,1,IF($F26=0,1,0))</f>
        <v>0</v>
      </c>
      <c r="R26" s="35">
        <f>IF($C26=0,0,1)*IF($D26&lt;12,0.3,1)*IF($C26&gt;8,-0.0011*$C26^2+0.0259*$C26+2.5454,0.3664*$C26+1.3526)*$E26*IF('Параметры теплоносителя'!D$19&gt;0,1,IF($F26=0,1,0))</f>
        <v>0</v>
      </c>
      <c r="S26" s="19" t="e">
        <f t="shared" si="2"/>
        <v>#REF!</v>
      </c>
    </row>
    <row r="27" spans="1:19" ht="12.75">
      <c r="A27" s="39">
        <f t="shared" si="3"/>
        <v>5</v>
      </c>
      <c r="B27" s="20"/>
      <c r="C27" s="21"/>
      <c r="D27" s="21"/>
      <c r="E27" s="42"/>
      <c r="F27" s="410"/>
      <c r="G27" s="402" t="e">
        <f>IF($C27=0,0,1)*IF($D27&lt;12,0.3,1)*IF($C27&gt;8,-0.0011*$C27^2+0.0259*$C27+2.5454,0.3664*$C27+1.3526)*$E27*IF('Параметры теплоносителя'!#REF!&gt;0,1,IF($F27=0,1,0))</f>
        <v>#REF!</v>
      </c>
      <c r="H27" s="18" t="e">
        <f>IF($C27=0,0,1)*IF($D27&lt;12,0.3,1)*IF($C27&gt;8,-0.0011*$C27^2+0.0259*$C27+2.5454,0.3664*$C27+1.3526)*$E27*IF('Параметры теплоносителя'!#REF!&gt;0,1,IF($F27=0,1,0))</f>
        <v>#REF!</v>
      </c>
      <c r="I27" s="18">
        <f>IF($C27=0,0,1)*IF($D27&lt;12,0.3,1)*IF($C27&gt;8,-0.0011*$C27^2+0.0259*$C27+2.5454,0.3664*$C27+1.3526)*$E27*IF('Параметры теплоносителя'!D$10&gt;0,1,IF($F27=0,1,0))</f>
        <v>0</v>
      </c>
      <c r="J27" s="18">
        <f>IF($C27=0,0,1)*IF($D27&lt;12,0.3,1)*IF($C27&gt;8,-0.0011*$C27^2+0.0259*$C27+2.5454,0.3664*$C27+1.3526)*$E27*IF('Параметры теплоносителя'!D$11&gt;0,1,IF($F27=0,1,0))</f>
        <v>0</v>
      </c>
      <c r="K27" s="18">
        <f>IF($C27=0,0,1)*IF($D27&lt;12,0.3,1)*IF($C27&gt;8,-0.0011*$C27^2+0.0259*$C27+2.5454,0.3664*$C27+1.3526)*$E27*IF('Параметры теплоносителя'!D$12&gt;0,1,IF($F27=0,1,0))</f>
        <v>0</v>
      </c>
      <c r="L27" s="18">
        <f>IF($C27=0,0,1)*IF($D27&lt;12,0.3,1)*IF($C27&gt;8,-0.0011*$C27^2+0.0259*$C27+2.5454,0.3664*$C27+1.3526)*$E27*IF('Параметры теплоносителя'!D$13&gt;0,1,IF($F27=0,1,0))</f>
        <v>0</v>
      </c>
      <c r="M27" s="18">
        <f>IF($C27=0,0,1)*IF($D27&lt;12,0.3,1)*IF($C27&gt;8,-0.0011*$C27^2+0.0259*$C27+2.5454,0.3664*$C27+1.3526)*$E27*IF('Параметры теплоносителя'!D$14&gt;0,1,IF($F27=0,1,0))</f>
        <v>0</v>
      </c>
      <c r="N27" s="18">
        <f>IF($C27=0,0,1)*IF($D27&lt;12,0.3,1)*IF($C27&gt;8,-0.0011*$C27^2+0.0259*$C27+2.5454,0.3664*$C27+1.3526)*$E27*IF('Параметры теплоносителя'!D$15&gt;0,1,IF($F27=0,1,0))</f>
        <v>0</v>
      </c>
      <c r="O27" s="18">
        <f>IF($C27=0,0,1)*IF($D27&lt;12,0.3,1)*IF($C27&gt;8,-0.0011*$C27^2+0.0259*$C27+2.5454,0.3664*$C27+1.3526)*$E27*IF('Параметры теплоносителя'!D$16&gt;0,1,IF($F27=0,1,0))</f>
        <v>0</v>
      </c>
      <c r="P27" s="18">
        <f>IF($C27=0,0,1)*IF($D27&lt;12,0.3,1)*IF($C27&gt;8,-0.0011*$C27^2+0.0259*$C27+2.5454,0.3664*$C27+1.3526)*$E27*IF('Параметры теплоносителя'!D$17&gt;0,1,IF($F27=0,1,0))</f>
        <v>0</v>
      </c>
      <c r="Q27" s="18">
        <f>IF($C27=0,0,1)*IF($D27&lt;12,0.3,1)*IF($C27&gt;8,-0.0011*$C27^2+0.0259*$C27+2.5454,0.3664*$C27+1.3526)*$E27*IF('Параметры теплоносителя'!D$18&gt;0,1,IF($F27=0,1,0))</f>
        <v>0</v>
      </c>
      <c r="R27" s="35">
        <f>IF($C27=0,0,1)*IF($D27&lt;12,0.3,1)*IF($C27&gt;8,-0.0011*$C27^2+0.0259*$C27+2.5454,0.3664*$C27+1.3526)*$E27*IF('Параметры теплоносителя'!D$19&gt;0,1,IF($F27=0,1,0))</f>
        <v>0</v>
      </c>
      <c r="S27" s="19" t="e">
        <f t="shared" si="2"/>
        <v>#REF!</v>
      </c>
    </row>
    <row r="28" spans="1:19" ht="12.75">
      <c r="A28" s="39">
        <f t="shared" si="3"/>
        <v>6</v>
      </c>
      <c r="B28" s="20"/>
      <c r="C28" s="21"/>
      <c r="D28" s="21"/>
      <c r="E28" s="42"/>
      <c r="F28" s="410"/>
      <c r="G28" s="402" t="e">
        <f>IF($C28=0,0,1)*IF($D28&lt;12,0.3,1)*IF($C28&gt;8,-0.0011*$C28^2+0.0259*$C28+2.5454,0.3664*$C28+1.3526)*$E28*IF('Параметры теплоносителя'!#REF!&gt;0,1,IF($F28=0,1,0))</f>
        <v>#REF!</v>
      </c>
      <c r="H28" s="18" t="e">
        <f>IF($C28=0,0,1)*IF($D28&lt;12,0.3,1)*IF($C28&gt;8,-0.0011*$C28^2+0.0259*$C28+2.5454,0.3664*$C28+1.3526)*$E28*IF('Параметры теплоносителя'!#REF!&gt;0,1,IF($F28=0,1,0))</f>
        <v>#REF!</v>
      </c>
      <c r="I28" s="18">
        <f>IF($C28=0,0,1)*IF($D28&lt;12,0.3,1)*IF($C28&gt;8,-0.0011*$C28^2+0.0259*$C28+2.5454,0.3664*$C28+1.3526)*$E28*IF('Параметры теплоносителя'!D$10&gt;0,1,IF($F28=0,1,0))</f>
        <v>0</v>
      </c>
      <c r="J28" s="18">
        <f>IF($C28=0,0,1)*IF($D28&lt;12,0.3,1)*IF($C28&gt;8,-0.0011*$C28^2+0.0259*$C28+2.5454,0.3664*$C28+1.3526)*$E28*IF('Параметры теплоносителя'!D$11&gt;0,1,IF($F28=0,1,0))</f>
        <v>0</v>
      </c>
      <c r="K28" s="18">
        <f>IF($C28=0,0,1)*IF($D28&lt;12,0.3,1)*IF($C28&gt;8,-0.0011*$C28^2+0.0259*$C28+2.5454,0.3664*$C28+1.3526)*$E28*IF('Параметры теплоносителя'!D$12&gt;0,1,IF($F28=0,1,0))</f>
        <v>0</v>
      </c>
      <c r="L28" s="18">
        <f>IF($C28=0,0,1)*IF($D28&lt;12,0.3,1)*IF($C28&gt;8,-0.0011*$C28^2+0.0259*$C28+2.5454,0.3664*$C28+1.3526)*$E28*IF('Параметры теплоносителя'!D$13&gt;0,1,IF($F28=0,1,0))</f>
        <v>0</v>
      </c>
      <c r="M28" s="18">
        <f>IF($C28=0,0,1)*IF($D28&lt;12,0.3,1)*IF($C28&gt;8,-0.0011*$C28^2+0.0259*$C28+2.5454,0.3664*$C28+1.3526)*$E28*IF('Параметры теплоносителя'!D$14&gt;0,1,IF($F28=0,1,0))</f>
        <v>0</v>
      </c>
      <c r="N28" s="18">
        <f>IF($C28=0,0,1)*IF($D28&lt;12,0.3,1)*IF($C28&gt;8,-0.0011*$C28^2+0.0259*$C28+2.5454,0.3664*$C28+1.3526)*$E28*IF('Параметры теплоносителя'!D$15&gt;0,1,IF($F28=0,1,0))</f>
        <v>0</v>
      </c>
      <c r="O28" s="18">
        <f>IF($C28=0,0,1)*IF($D28&lt;12,0.3,1)*IF($C28&gt;8,-0.0011*$C28^2+0.0259*$C28+2.5454,0.3664*$C28+1.3526)*$E28*IF('Параметры теплоносителя'!D$16&gt;0,1,IF($F28=0,1,0))</f>
        <v>0</v>
      </c>
      <c r="P28" s="18">
        <f>IF($C28=0,0,1)*IF($D28&lt;12,0.3,1)*IF($C28&gt;8,-0.0011*$C28^2+0.0259*$C28+2.5454,0.3664*$C28+1.3526)*$E28*IF('Параметры теплоносителя'!D$17&gt;0,1,IF($F28=0,1,0))</f>
        <v>0</v>
      </c>
      <c r="Q28" s="18">
        <f>IF($C28=0,0,1)*IF($D28&lt;12,0.3,1)*IF($C28&gt;8,-0.0011*$C28^2+0.0259*$C28+2.5454,0.3664*$C28+1.3526)*$E28*IF('Параметры теплоносителя'!D$18&gt;0,1,IF($F28=0,1,0))</f>
        <v>0</v>
      </c>
      <c r="R28" s="35">
        <f>IF($C28=0,0,1)*IF($D28&lt;12,0.3,1)*IF($C28&gt;8,-0.0011*$C28^2+0.0259*$C28+2.5454,0.3664*$C28+1.3526)*$E28*IF('Параметры теплоносителя'!D$19&gt;0,1,IF($F28=0,1,0))</f>
        <v>0</v>
      </c>
      <c r="S28" s="19" t="e">
        <f t="shared" si="2"/>
        <v>#REF!</v>
      </c>
    </row>
    <row r="29" spans="1:19" ht="12.75">
      <c r="A29" s="39">
        <f t="shared" si="3"/>
        <v>7</v>
      </c>
      <c r="B29" s="20"/>
      <c r="C29" s="21"/>
      <c r="D29" s="21"/>
      <c r="E29" s="42"/>
      <c r="F29" s="410"/>
      <c r="G29" s="402" t="e">
        <f>IF($C29=0,0,1)*IF($D29&lt;12,0.3,1)*IF($C29&gt;8,-0.0011*$C29^2+0.0259*$C29+2.5454,0.3664*$C29+1.3526)*$E29*IF('Параметры теплоносителя'!#REF!&gt;0,1,IF($F29=0,1,0))</f>
        <v>#REF!</v>
      </c>
      <c r="H29" s="18" t="e">
        <f>IF($C29=0,0,1)*IF($D29&lt;12,0.3,1)*IF($C29&gt;8,-0.0011*$C29^2+0.0259*$C29+2.5454,0.3664*$C29+1.3526)*$E29*IF('Параметры теплоносителя'!#REF!&gt;0,1,IF($F29=0,1,0))</f>
        <v>#REF!</v>
      </c>
      <c r="I29" s="18">
        <f>IF($C29=0,0,1)*IF($D29&lt;12,0.3,1)*IF($C29&gt;8,-0.0011*$C29^2+0.0259*$C29+2.5454,0.3664*$C29+1.3526)*$E29*IF('Параметры теплоносителя'!D$10&gt;0,1,IF($F29=0,1,0))</f>
        <v>0</v>
      </c>
      <c r="J29" s="18">
        <f>IF($C29=0,0,1)*IF($D29&lt;12,0.3,1)*IF($C29&gt;8,-0.0011*$C29^2+0.0259*$C29+2.5454,0.3664*$C29+1.3526)*$E29*IF('Параметры теплоносителя'!D$11&gt;0,1,IF($F29=0,1,0))</f>
        <v>0</v>
      </c>
      <c r="K29" s="18">
        <f>IF($C29=0,0,1)*IF($D29&lt;12,0.3,1)*IF($C29&gt;8,-0.0011*$C29^2+0.0259*$C29+2.5454,0.3664*$C29+1.3526)*$E29*IF('Параметры теплоносителя'!D$12&gt;0,1,IF($F29=0,1,0))</f>
        <v>0</v>
      </c>
      <c r="L29" s="18">
        <f>IF($C29=0,0,1)*IF($D29&lt;12,0.3,1)*IF($C29&gt;8,-0.0011*$C29^2+0.0259*$C29+2.5454,0.3664*$C29+1.3526)*$E29*IF('Параметры теплоносителя'!D$13&gt;0,1,IF($F29=0,1,0))</f>
        <v>0</v>
      </c>
      <c r="M29" s="18">
        <f>IF($C29=0,0,1)*IF($D29&lt;12,0.3,1)*IF($C29&gt;8,-0.0011*$C29^2+0.0259*$C29+2.5454,0.3664*$C29+1.3526)*$E29*IF('Параметры теплоносителя'!D$14&gt;0,1,IF($F29=0,1,0))</f>
        <v>0</v>
      </c>
      <c r="N29" s="18">
        <f>IF($C29=0,0,1)*IF($D29&lt;12,0.3,1)*IF($C29&gt;8,-0.0011*$C29^2+0.0259*$C29+2.5454,0.3664*$C29+1.3526)*$E29*IF('Параметры теплоносителя'!D$15&gt;0,1,IF($F29=0,1,0))</f>
        <v>0</v>
      </c>
      <c r="O29" s="18">
        <f>IF($C29=0,0,1)*IF($D29&lt;12,0.3,1)*IF($C29&gt;8,-0.0011*$C29^2+0.0259*$C29+2.5454,0.3664*$C29+1.3526)*$E29*IF('Параметры теплоносителя'!D$16&gt;0,1,IF($F29=0,1,0))</f>
        <v>0</v>
      </c>
      <c r="P29" s="18">
        <f>IF($C29=0,0,1)*IF($D29&lt;12,0.3,1)*IF($C29&gt;8,-0.0011*$C29^2+0.0259*$C29+2.5454,0.3664*$C29+1.3526)*$E29*IF('Параметры теплоносителя'!D$17&gt;0,1,IF($F29=0,1,0))</f>
        <v>0</v>
      </c>
      <c r="Q29" s="18">
        <f>IF($C29=0,0,1)*IF($D29&lt;12,0.3,1)*IF($C29&gt;8,-0.0011*$C29^2+0.0259*$C29+2.5454,0.3664*$C29+1.3526)*$E29*IF('Параметры теплоносителя'!D$18&gt;0,1,IF($F29=0,1,0))</f>
        <v>0</v>
      </c>
      <c r="R29" s="35">
        <f>IF($C29=0,0,1)*IF($D29&lt;12,0.3,1)*IF($C29&gt;8,-0.0011*$C29^2+0.0259*$C29+2.5454,0.3664*$C29+1.3526)*$E29*IF('Параметры теплоносителя'!D$19&gt;0,1,IF($F29=0,1,0))</f>
        <v>0</v>
      </c>
      <c r="S29" s="19" t="e">
        <f t="shared" si="2"/>
        <v>#REF!</v>
      </c>
    </row>
    <row r="30" spans="1:19" ht="12.75">
      <c r="A30" s="39">
        <f t="shared" si="3"/>
        <v>8</v>
      </c>
      <c r="B30" s="20"/>
      <c r="C30" s="21"/>
      <c r="D30" s="21"/>
      <c r="E30" s="42"/>
      <c r="F30" s="410"/>
      <c r="G30" s="402" t="e">
        <f>IF($C30=0,0,1)*IF($D30&lt;12,0.3,1)*IF($C30&gt;8,-0.0011*$C30^2+0.0259*$C30+2.5454,0.3664*$C30+1.3526)*$E30*IF('Параметры теплоносителя'!#REF!&gt;0,1,IF($F30=0,1,0))</f>
        <v>#REF!</v>
      </c>
      <c r="H30" s="18" t="e">
        <f>IF($C30=0,0,1)*IF($D30&lt;12,0.3,1)*IF($C30&gt;8,-0.0011*$C30^2+0.0259*$C30+2.5454,0.3664*$C30+1.3526)*$E30*IF('Параметры теплоносителя'!#REF!&gt;0,1,IF($F30=0,1,0))</f>
        <v>#REF!</v>
      </c>
      <c r="I30" s="18">
        <f>IF($C30=0,0,1)*IF($D30&lt;12,0.3,1)*IF($C30&gt;8,-0.0011*$C30^2+0.0259*$C30+2.5454,0.3664*$C30+1.3526)*$E30*IF('Параметры теплоносителя'!D$10&gt;0,1,IF($F30=0,1,0))</f>
        <v>0</v>
      </c>
      <c r="J30" s="18">
        <f>IF($C30=0,0,1)*IF($D30&lt;12,0.3,1)*IF($C30&gt;8,-0.0011*$C30^2+0.0259*$C30+2.5454,0.3664*$C30+1.3526)*$E30*IF('Параметры теплоносителя'!D$11&gt;0,1,IF($F30=0,1,0))</f>
        <v>0</v>
      </c>
      <c r="K30" s="18">
        <f>IF($C30=0,0,1)*IF($D30&lt;12,0.3,1)*IF($C30&gt;8,-0.0011*$C30^2+0.0259*$C30+2.5454,0.3664*$C30+1.3526)*$E30*IF('Параметры теплоносителя'!D$12&gt;0,1,IF($F30=0,1,0))</f>
        <v>0</v>
      </c>
      <c r="L30" s="18">
        <f>IF($C30=0,0,1)*IF($D30&lt;12,0.3,1)*IF($C30&gt;8,-0.0011*$C30^2+0.0259*$C30+2.5454,0.3664*$C30+1.3526)*$E30*IF('Параметры теплоносителя'!D$13&gt;0,1,IF($F30=0,1,0))</f>
        <v>0</v>
      </c>
      <c r="M30" s="18">
        <f>IF($C30=0,0,1)*IF($D30&lt;12,0.3,1)*IF($C30&gt;8,-0.0011*$C30^2+0.0259*$C30+2.5454,0.3664*$C30+1.3526)*$E30*IF('Параметры теплоносителя'!D$14&gt;0,1,IF($F30=0,1,0))</f>
        <v>0</v>
      </c>
      <c r="N30" s="18">
        <f>IF($C30=0,0,1)*IF($D30&lt;12,0.3,1)*IF($C30&gt;8,-0.0011*$C30^2+0.0259*$C30+2.5454,0.3664*$C30+1.3526)*$E30*IF('Параметры теплоносителя'!D$15&gt;0,1,IF($F30=0,1,0))</f>
        <v>0</v>
      </c>
      <c r="O30" s="18">
        <f>IF($C30=0,0,1)*IF($D30&lt;12,0.3,1)*IF($C30&gt;8,-0.0011*$C30^2+0.0259*$C30+2.5454,0.3664*$C30+1.3526)*$E30*IF('Параметры теплоносителя'!D$16&gt;0,1,IF($F30=0,1,0))</f>
        <v>0</v>
      </c>
      <c r="P30" s="18">
        <f>IF($C30=0,0,1)*IF($D30&lt;12,0.3,1)*IF($C30&gt;8,-0.0011*$C30^2+0.0259*$C30+2.5454,0.3664*$C30+1.3526)*$E30*IF('Параметры теплоносителя'!D$17&gt;0,1,IF($F30=0,1,0))</f>
        <v>0</v>
      </c>
      <c r="Q30" s="18">
        <f>IF($C30=0,0,1)*IF($D30&lt;12,0.3,1)*IF($C30&gt;8,-0.0011*$C30^2+0.0259*$C30+2.5454,0.3664*$C30+1.3526)*$E30*IF('Параметры теплоносителя'!D$18&gt;0,1,IF($F30=0,1,0))</f>
        <v>0</v>
      </c>
      <c r="R30" s="35">
        <f>IF($C30=0,0,1)*IF($D30&lt;12,0.3,1)*IF($C30&gt;8,-0.0011*$C30^2+0.0259*$C30+2.5454,0.3664*$C30+1.3526)*$E30*IF('Параметры теплоносителя'!D$19&gt;0,1,IF($F30=0,1,0))</f>
        <v>0</v>
      </c>
      <c r="S30" s="19" t="e">
        <f t="shared" si="2"/>
        <v>#REF!</v>
      </c>
    </row>
    <row r="31" spans="1:19" ht="12.75">
      <c r="A31" s="39">
        <f t="shared" si="3"/>
        <v>9</v>
      </c>
      <c r="B31" s="20"/>
      <c r="C31" s="21"/>
      <c r="D31" s="21"/>
      <c r="E31" s="42"/>
      <c r="F31" s="410"/>
      <c r="G31" s="402" t="e">
        <f>IF($C31=0,0,1)*IF($D31&lt;12,0.3,1)*IF($C31&gt;8,-0.0011*$C31^2+0.0259*$C31+2.5454,0.3664*$C31+1.3526)*$E31*IF('Параметры теплоносителя'!#REF!&gt;0,1,IF($F31=0,1,0))</f>
        <v>#REF!</v>
      </c>
      <c r="H31" s="18" t="e">
        <f>IF($C31=0,0,1)*IF($D31&lt;12,0.3,1)*IF($C31&gt;8,-0.0011*$C31^2+0.0259*$C31+2.5454,0.3664*$C31+1.3526)*$E31*IF('Параметры теплоносителя'!#REF!&gt;0,1,IF($F31=0,1,0))</f>
        <v>#REF!</v>
      </c>
      <c r="I31" s="18">
        <f>IF($C31=0,0,1)*IF($D31&lt;12,0.3,1)*IF($C31&gt;8,-0.0011*$C31^2+0.0259*$C31+2.5454,0.3664*$C31+1.3526)*$E31*IF('Параметры теплоносителя'!D$10&gt;0,1,IF($F31=0,1,0))</f>
        <v>0</v>
      </c>
      <c r="J31" s="18">
        <f>IF($C31=0,0,1)*IF($D31&lt;12,0.3,1)*IF($C31&gt;8,-0.0011*$C31^2+0.0259*$C31+2.5454,0.3664*$C31+1.3526)*$E31*IF('Параметры теплоносителя'!D$11&gt;0,1,IF($F31=0,1,0))</f>
        <v>0</v>
      </c>
      <c r="K31" s="18">
        <f>IF($C31=0,0,1)*IF($D31&lt;12,0.3,1)*IF($C31&gt;8,-0.0011*$C31^2+0.0259*$C31+2.5454,0.3664*$C31+1.3526)*$E31*IF('Параметры теплоносителя'!D$12&gt;0,1,IF($F31=0,1,0))</f>
        <v>0</v>
      </c>
      <c r="L31" s="18">
        <f>IF($C31=0,0,1)*IF($D31&lt;12,0.3,1)*IF($C31&gt;8,-0.0011*$C31^2+0.0259*$C31+2.5454,0.3664*$C31+1.3526)*$E31*IF('Параметры теплоносителя'!D$13&gt;0,1,IF($F31=0,1,0))</f>
        <v>0</v>
      </c>
      <c r="M31" s="18">
        <f>IF($C31=0,0,1)*IF($D31&lt;12,0.3,1)*IF($C31&gt;8,-0.0011*$C31^2+0.0259*$C31+2.5454,0.3664*$C31+1.3526)*$E31*IF('Параметры теплоносителя'!D$14&gt;0,1,IF($F31=0,1,0))</f>
        <v>0</v>
      </c>
      <c r="N31" s="18">
        <f>IF($C31=0,0,1)*IF($D31&lt;12,0.3,1)*IF($C31&gt;8,-0.0011*$C31^2+0.0259*$C31+2.5454,0.3664*$C31+1.3526)*$E31*IF('Параметры теплоносителя'!D$15&gt;0,1,IF($F31=0,1,0))</f>
        <v>0</v>
      </c>
      <c r="O31" s="18">
        <f>IF($C31=0,0,1)*IF($D31&lt;12,0.3,1)*IF($C31&gt;8,-0.0011*$C31^2+0.0259*$C31+2.5454,0.3664*$C31+1.3526)*$E31*IF('Параметры теплоносителя'!D$16&gt;0,1,IF($F31=0,1,0))</f>
        <v>0</v>
      </c>
      <c r="P31" s="18">
        <f>IF($C31=0,0,1)*IF($D31&lt;12,0.3,1)*IF($C31&gt;8,-0.0011*$C31^2+0.0259*$C31+2.5454,0.3664*$C31+1.3526)*$E31*IF('Параметры теплоносителя'!D$17&gt;0,1,IF($F31=0,1,0))</f>
        <v>0</v>
      </c>
      <c r="Q31" s="18">
        <f>IF($C31=0,0,1)*IF($D31&lt;12,0.3,1)*IF($C31&gt;8,-0.0011*$C31^2+0.0259*$C31+2.5454,0.3664*$C31+1.3526)*$E31*IF('Параметры теплоносителя'!D$18&gt;0,1,IF($F31=0,1,0))</f>
        <v>0</v>
      </c>
      <c r="R31" s="35">
        <f>IF($C31=0,0,1)*IF($D31&lt;12,0.3,1)*IF($C31&gt;8,-0.0011*$C31^2+0.0259*$C31+2.5454,0.3664*$C31+1.3526)*$E31*IF('Параметры теплоносителя'!D$19&gt;0,1,IF($F31=0,1,0))</f>
        <v>0</v>
      </c>
      <c r="S31" s="19" t="e">
        <f t="shared" si="2"/>
        <v>#REF!</v>
      </c>
    </row>
    <row r="32" spans="1:19" ht="13.5" thickBot="1">
      <c r="A32" s="14">
        <f t="shared" si="3"/>
        <v>10</v>
      </c>
      <c r="B32" s="17"/>
      <c r="C32" s="10"/>
      <c r="D32" s="10"/>
      <c r="E32" s="44"/>
      <c r="F32" s="409"/>
      <c r="G32" s="405" t="e">
        <f>IF($C32=0,0,1)*IF($D32&lt;12,0.3,1)*IF($C32&gt;8,-0.0011*$C32^2+0.0259*$C32+2.5454,0.3664*$C32+1.3526)*$E32*IF('Параметры теплоносителя'!#REF!&gt;0,1,IF($F32=0,1,0))</f>
        <v>#REF!</v>
      </c>
      <c r="H32" s="22" t="e">
        <f>IF($C32=0,0,1)*IF($D32&lt;12,0.3,1)*IF($C32&gt;8,-0.0011*$C32^2+0.0259*$C32+2.5454,0.3664*$C32+1.3526)*$E32*IF('Параметры теплоносителя'!#REF!&gt;0,1,IF($F32=0,1,0))</f>
        <v>#REF!</v>
      </c>
      <c r="I32" s="22">
        <f>IF($C32=0,0,1)*IF($D32&lt;12,0.3,1)*IF($C32&gt;8,-0.0011*$C32^2+0.0259*$C32+2.5454,0.3664*$C32+1.3526)*$E32*IF('Параметры теплоносителя'!D$10&gt;0,1,IF($F32=0,1,0))</f>
        <v>0</v>
      </c>
      <c r="J32" s="22">
        <f>IF($C32=0,0,1)*IF($D32&lt;12,0.3,1)*IF($C32&gt;8,-0.0011*$C32^2+0.0259*$C32+2.5454,0.3664*$C32+1.3526)*$E32*IF('Параметры теплоносителя'!D$11&gt;0,1,IF($F32=0,1,0))</f>
        <v>0</v>
      </c>
      <c r="K32" s="22">
        <f>IF($C32=0,0,1)*IF($D32&lt;12,0.3,1)*IF($C32&gt;8,-0.0011*$C32^2+0.0259*$C32+2.5454,0.3664*$C32+1.3526)*$E32*IF('Параметры теплоносителя'!D$12&gt;0,1,IF($F32=0,1,0))</f>
        <v>0</v>
      </c>
      <c r="L32" s="22">
        <f>IF($C32=0,0,1)*IF($D32&lt;12,0.3,1)*IF($C32&gt;8,-0.0011*$C32^2+0.0259*$C32+2.5454,0.3664*$C32+1.3526)*$E32*IF('Параметры теплоносителя'!D$13&gt;0,1,IF($F32=0,1,0))</f>
        <v>0</v>
      </c>
      <c r="M32" s="22">
        <f>IF($C32=0,0,1)*IF($D32&lt;12,0.3,1)*IF($C32&gt;8,-0.0011*$C32^2+0.0259*$C32+2.5454,0.3664*$C32+1.3526)*$E32*IF('Параметры теплоносителя'!D$14&gt;0,1,IF($F32=0,1,0))</f>
        <v>0</v>
      </c>
      <c r="N32" s="22">
        <f>IF($C32=0,0,1)*IF($D32&lt;12,0.3,1)*IF($C32&gt;8,-0.0011*$C32^2+0.0259*$C32+2.5454,0.3664*$C32+1.3526)*$E32*IF('Параметры теплоносителя'!D$15&gt;0,1,IF($F32=0,1,0))</f>
        <v>0</v>
      </c>
      <c r="O32" s="22">
        <f>IF($C32=0,0,1)*IF($D32&lt;12,0.3,1)*IF($C32&gt;8,-0.0011*$C32^2+0.0259*$C32+2.5454,0.3664*$C32+1.3526)*$E32*IF('Параметры теплоносителя'!D$16&gt;0,1,IF($F32=0,1,0))</f>
        <v>0</v>
      </c>
      <c r="P32" s="22">
        <f>IF($C32=0,0,1)*IF($D32&lt;12,0.3,1)*IF($C32&gt;8,-0.0011*$C32^2+0.0259*$C32+2.5454,0.3664*$C32+1.3526)*$E32*IF('Параметры теплоносителя'!D$17&gt;0,1,IF($F32=0,1,0))</f>
        <v>0</v>
      </c>
      <c r="Q32" s="22">
        <f>IF($C32=0,0,1)*IF($D32&lt;12,0.3,1)*IF($C32&gt;8,-0.0011*$C32^2+0.0259*$C32+2.5454,0.3664*$C32+1.3526)*$E32*IF('Параметры теплоносителя'!D$18&gt;0,1,IF($F32=0,1,0))</f>
        <v>0</v>
      </c>
      <c r="R32" s="23">
        <f>IF($C32=0,0,1)*IF($D32&lt;12,0.3,1)*IF($C32&gt;8,-0.0011*$C32^2+0.0259*$C32+2.5454,0.3664*$C32+1.3526)*$E32*IF('Параметры теплоносителя'!D$19&gt;0,1,IF($F32=0,1,0))</f>
        <v>0</v>
      </c>
      <c r="S32" s="28" t="e">
        <f t="shared" si="2"/>
        <v>#REF!</v>
      </c>
    </row>
    <row r="33" spans="1:19" ht="4.5" customHeight="1" thickBot="1">
      <c r="A33" s="29"/>
      <c r="B33" s="36"/>
      <c r="C33" s="37"/>
      <c r="D33" s="37"/>
      <c r="E33" s="38"/>
      <c r="F33" s="38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0"/>
      <c r="S33" s="46"/>
    </row>
    <row r="34" spans="1:19" ht="13.5" thickBot="1">
      <c r="A34" s="33" t="s">
        <v>12</v>
      </c>
      <c r="B34" s="27"/>
      <c r="C34" s="630"/>
      <c r="D34" s="630"/>
      <c r="E34" s="630"/>
      <c r="F34" s="631"/>
      <c r="G34" s="15" t="e">
        <f aca="true" t="shared" si="4" ref="G34:S34">SUM(G23:G33)</f>
        <v>#REF!</v>
      </c>
      <c r="H34" s="13" t="e">
        <f t="shared" si="4"/>
        <v>#REF!</v>
      </c>
      <c r="I34" s="13">
        <f t="shared" si="4"/>
        <v>5.6364</v>
      </c>
      <c r="J34" s="13">
        <f t="shared" si="4"/>
        <v>5.6364</v>
      </c>
      <c r="K34" s="13">
        <f t="shared" si="4"/>
        <v>7.53512</v>
      </c>
      <c r="L34" s="13">
        <f t="shared" si="4"/>
        <v>5.6364</v>
      </c>
      <c r="M34" s="13">
        <f t="shared" si="4"/>
        <v>7.53512</v>
      </c>
      <c r="N34" s="13">
        <f t="shared" si="4"/>
        <v>7.53512</v>
      </c>
      <c r="O34" s="13">
        <f t="shared" si="4"/>
        <v>5.6364</v>
      </c>
      <c r="P34" s="13">
        <f t="shared" si="4"/>
        <v>5.6364</v>
      </c>
      <c r="Q34" s="13">
        <f t="shared" si="4"/>
        <v>5.6364</v>
      </c>
      <c r="R34" s="16">
        <f t="shared" si="4"/>
        <v>5.6364</v>
      </c>
      <c r="S34" s="8" t="e">
        <f t="shared" si="4"/>
        <v>#REF!</v>
      </c>
    </row>
    <row r="35" ht="13.5" thickBot="1"/>
    <row r="36" spans="1:19" ht="16.5" thickBot="1">
      <c r="A36" s="625" t="s">
        <v>30</v>
      </c>
      <c r="B36" s="626"/>
      <c r="C36" s="626"/>
      <c r="D36" s="626"/>
      <c r="E36" s="626"/>
      <c r="F36" s="627"/>
      <c r="G36" s="185" t="e">
        <f>G15+G34</f>
        <v>#REF!</v>
      </c>
      <c r="H36" s="186" t="e">
        <f aca="true" t="shared" si="5" ref="H36:S36">H15+H34</f>
        <v>#REF!</v>
      </c>
      <c r="I36" s="186">
        <f t="shared" si="5"/>
        <v>27.886400000000002</v>
      </c>
      <c r="J36" s="186">
        <f t="shared" si="5"/>
        <v>27.886400000000002</v>
      </c>
      <c r="K36" s="186">
        <f t="shared" si="5"/>
        <v>29.78512</v>
      </c>
      <c r="L36" s="186">
        <f t="shared" si="5"/>
        <v>27.886400000000002</v>
      </c>
      <c r="M36" s="186">
        <f t="shared" si="5"/>
        <v>29.78512</v>
      </c>
      <c r="N36" s="186">
        <f t="shared" si="5"/>
        <v>29.78512</v>
      </c>
      <c r="O36" s="186">
        <f t="shared" si="5"/>
        <v>27.886400000000002</v>
      </c>
      <c r="P36" s="186">
        <f t="shared" si="5"/>
        <v>27.886400000000002</v>
      </c>
      <c r="Q36" s="186">
        <f t="shared" si="5"/>
        <v>27.886400000000002</v>
      </c>
      <c r="R36" s="187">
        <f t="shared" si="5"/>
        <v>27.886400000000002</v>
      </c>
      <c r="S36" s="65" t="e">
        <f t="shared" si="5"/>
        <v>#REF!</v>
      </c>
    </row>
  </sheetData>
  <sheetProtection sheet="1" objects="1" scenarios="1"/>
  <mergeCells count="13">
    <mergeCell ref="A2:C2"/>
    <mergeCell ref="A36:F36"/>
    <mergeCell ref="G22:R22"/>
    <mergeCell ref="C34:F34"/>
    <mergeCell ref="G8:R8"/>
    <mergeCell ref="A7:A8"/>
    <mergeCell ref="B7:B8"/>
    <mergeCell ref="C15:F15"/>
    <mergeCell ref="A21:A22"/>
    <mergeCell ref="B21:B22"/>
    <mergeCell ref="A19:S19"/>
    <mergeCell ref="A5:S5"/>
    <mergeCell ref="A3:S3"/>
  </mergeCells>
  <hyperlinks>
    <hyperlink ref="A2" location="Оглавление!A1" display="Возврат в оглавление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showGridLines="0" zoomScale="72" zoomScaleNormal="72" workbookViewId="0" topLeftCell="A1">
      <selection activeCell="A2" sqref="A2:C2"/>
    </sheetView>
  </sheetViews>
  <sheetFormatPr defaultColWidth="9.140625" defaultRowHeight="12.75"/>
  <cols>
    <col min="1" max="1" width="4.8515625" style="73" customWidth="1"/>
    <col min="2" max="2" width="12.421875" style="73" customWidth="1"/>
    <col min="3" max="3" width="14.140625" style="73" customWidth="1"/>
    <col min="4" max="5" width="12.140625" style="73" customWidth="1"/>
    <col min="6" max="6" width="12.8515625" style="73" customWidth="1"/>
    <col min="7" max="18" width="10.28125" style="73" bestFit="1" customWidth="1"/>
    <col min="19" max="19" width="13.00390625" style="73" bestFit="1" customWidth="1"/>
    <col min="20" max="16384" width="9.140625" style="73" customWidth="1"/>
  </cols>
  <sheetData>
    <row r="1" ht="7.5" customHeight="1" thickBot="1"/>
    <row r="2" spans="1:3" ht="24" customHeight="1" thickBot="1" thickTop="1">
      <c r="A2" s="474" t="s">
        <v>190</v>
      </c>
      <c r="B2" s="457"/>
      <c r="C2" s="458"/>
    </row>
    <row r="3" spans="1:20" ht="19.5" thickTop="1">
      <c r="A3" s="620" t="s">
        <v>93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6"/>
    </row>
    <row r="5" spans="1:19" ht="12.75" customHeight="1">
      <c r="A5" s="652" t="s">
        <v>76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</row>
    <row r="6" ht="13.5" thickBot="1"/>
    <row r="7" spans="1:19" ht="43.5" customHeight="1">
      <c r="A7" s="653" t="s">
        <v>13</v>
      </c>
      <c r="B7" s="655" t="s">
        <v>18</v>
      </c>
      <c r="C7" s="641" t="s">
        <v>108</v>
      </c>
      <c r="D7" s="660"/>
      <c r="E7" s="641" t="s">
        <v>110</v>
      </c>
      <c r="F7" s="642"/>
      <c r="G7" s="191" t="s">
        <v>0</v>
      </c>
      <c r="H7" s="55" t="s">
        <v>1</v>
      </c>
      <c r="I7" s="55" t="s">
        <v>2</v>
      </c>
      <c r="J7" s="55" t="s">
        <v>3</v>
      </c>
      <c r="K7" s="55" t="s">
        <v>4</v>
      </c>
      <c r="L7" s="55" t="s">
        <v>5</v>
      </c>
      <c r="M7" s="55" t="s">
        <v>6</v>
      </c>
      <c r="N7" s="55" t="s">
        <v>7</v>
      </c>
      <c r="O7" s="55" t="s">
        <v>8</v>
      </c>
      <c r="P7" s="55" t="s">
        <v>9</v>
      </c>
      <c r="Q7" s="55" t="s">
        <v>10</v>
      </c>
      <c r="R7" s="56" t="s">
        <v>11</v>
      </c>
      <c r="S7" s="57" t="s">
        <v>16</v>
      </c>
    </row>
    <row r="8" spans="1:19" ht="13.5" thickBot="1">
      <c r="A8" s="654"/>
      <c r="B8" s="656"/>
      <c r="C8" s="643" t="s">
        <v>39</v>
      </c>
      <c r="D8" s="661"/>
      <c r="E8" s="643" t="s">
        <v>20</v>
      </c>
      <c r="F8" s="644"/>
      <c r="G8" s="657" t="s">
        <v>22</v>
      </c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9"/>
      <c r="S8" s="60" t="s">
        <v>15</v>
      </c>
    </row>
    <row r="9" spans="1:19" ht="12.75">
      <c r="A9" s="100">
        <v>1</v>
      </c>
      <c r="B9" s="138" t="str">
        <f>'Расход тепла на растопку'!B9</f>
        <v>ДКВР-20</v>
      </c>
      <c r="C9" s="645">
        <v>15</v>
      </c>
      <c r="D9" s="662"/>
      <c r="E9" s="645">
        <v>24</v>
      </c>
      <c r="F9" s="646"/>
      <c r="G9" s="192">
        <f>IF($C9&lt;10,0.0013,0.0006)*$C9*$E9*31</f>
        <v>6.695999999999999</v>
      </c>
      <c r="H9" s="125">
        <f>IF($C9&lt;10,0.0013,0.0006)*$C9*$E9*28</f>
        <v>6.047999999999999</v>
      </c>
      <c r="I9" s="125">
        <f>IF($C9&lt;10,0.0013,0.0006)*$C9*$E9*31</f>
        <v>6.695999999999999</v>
      </c>
      <c r="J9" s="125">
        <f>IF($C9&lt;10,0.0013,0.0006)*$C9*$E9*30</f>
        <v>6.479999999999999</v>
      </c>
      <c r="K9" s="125">
        <f>IF($C9&lt;10,0.0013,0.0006)*$C9*$E9*31</f>
        <v>6.695999999999999</v>
      </c>
      <c r="L9" s="125">
        <f>IF($C9&lt;10,0.0013,0.0006)*$C9*$E9*30</f>
        <v>6.479999999999999</v>
      </c>
      <c r="M9" s="125">
        <f>IF($C9&lt;10,0.0013,0.0006)*$C9*$E9*31</f>
        <v>6.695999999999999</v>
      </c>
      <c r="N9" s="125">
        <f>IF($C9&lt;10,0.0013,0.0006)*$C9*$E9*31</f>
        <v>6.695999999999999</v>
      </c>
      <c r="O9" s="125">
        <f>IF($C9&lt;10,0.0013,0.0006)*$C9*$E9*30</f>
        <v>6.479999999999999</v>
      </c>
      <c r="P9" s="125">
        <f>IF($C9&lt;10,0.0013,0.0006)*$C9*$E9*31</f>
        <v>6.695999999999999</v>
      </c>
      <c r="Q9" s="125">
        <f>IF($C9&lt;10,0.0013,0.0006)*$C9*$E9*30</f>
        <v>6.479999999999999</v>
      </c>
      <c r="R9" s="125">
        <f>IF($C9&lt;10,0.0013,0.0006)*$C9*$E9*31</f>
        <v>6.695999999999999</v>
      </c>
      <c r="S9" s="126">
        <f>SUM(G9:R9)</f>
        <v>78.83999999999999</v>
      </c>
    </row>
    <row r="10" spans="1:19" ht="12.75">
      <c r="A10" s="61">
        <f>A9+1</f>
        <v>2</v>
      </c>
      <c r="B10" s="136" t="str">
        <f>'Расход тепла на растопку'!B10</f>
        <v>ДЕ-25</v>
      </c>
      <c r="C10" s="637">
        <v>20</v>
      </c>
      <c r="D10" s="638"/>
      <c r="E10" s="637">
        <v>24</v>
      </c>
      <c r="F10" s="647"/>
      <c r="G10" s="193">
        <f>IF($C10&lt;10,0.0013,0.0006)*$C10*$E10*31</f>
        <v>8.927999999999999</v>
      </c>
      <c r="H10" s="127">
        <f>IF($C10&lt;10,0.0013,0.0006)*$C10*$E10*28</f>
        <v>8.064</v>
      </c>
      <c r="I10" s="127">
        <f>IF($C10&lt;10,0.0013,0.0006)*$C10*$E10*31</f>
        <v>8.927999999999999</v>
      </c>
      <c r="J10" s="127">
        <f>IF($C10&lt;10,0.0013,0.0006)*$C10*$E10*30</f>
        <v>8.639999999999999</v>
      </c>
      <c r="K10" s="127">
        <f>IF($C10&lt;10,0.0013,0.0006)*$C10*$E10*31</f>
        <v>8.927999999999999</v>
      </c>
      <c r="L10" s="127">
        <f>IF($C10&lt;10,0.0013,0.0006)*$C10*$E10*30</f>
        <v>8.639999999999999</v>
      </c>
      <c r="M10" s="127">
        <f>IF($C10&lt;10,0.0013,0.0006)*$C10*$E10*31</f>
        <v>8.927999999999999</v>
      </c>
      <c r="N10" s="127">
        <f>IF($C10&lt;10,0.0013,0.0006)*$C10*$E10*31</f>
        <v>8.927999999999999</v>
      </c>
      <c r="O10" s="127">
        <f>IF($C10&lt;10,0.0013,0.0006)*$C10*$E10*30</f>
        <v>8.639999999999999</v>
      </c>
      <c r="P10" s="127">
        <f>IF($C10&lt;10,0.0013,0.0006)*$C10*$E10*31</f>
        <v>8.927999999999999</v>
      </c>
      <c r="Q10" s="127">
        <f>IF($C10&lt;10,0.0013,0.0006)*$C10*$E10*30</f>
        <v>8.639999999999999</v>
      </c>
      <c r="R10" s="128">
        <f>IF($C10&lt;10,0.0013,0.0006)*$C10*$E10*31</f>
        <v>8.927999999999999</v>
      </c>
      <c r="S10" s="129">
        <f>SUM(G10:R10)</f>
        <v>105.11999999999999</v>
      </c>
    </row>
    <row r="11" spans="1:19" ht="12.75">
      <c r="A11" s="61">
        <f>A10+1</f>
        <v>3</v>
      </c>
      <c r="B11" s="136">
        <f>'Расход тепла на растопку'!B11</f>
        <v>0</v>
      </c>
      <c r="C11" s="637"/>
      <c r="D11" s="638"/>
      <c r="E11" s="648"/>
      <c r="F11" s="649"/>
      <c r="G11" s="193">
        <f>IF($C11&lt;10,0.0013,0.0006)*$C11*$F11*31</f>
        <v>0</v>
      </c>
      <c r="H11" s="127">
        <f>IF($C11&lt;10,0.0013,0.0006)*$C11*$F11*28</f>
        <v>0</v>
      </c>
      <c r="I11" s="127">
        <f>IF($C11&lt;10,0.0013,0.0006)*$C11*$F11*31</f>
        <v>0</v>
      </c>
      <c r="J11" s="127">
        <f>IF($C11&lt;10,0.0013,0.0006)*$C11*$F11*30</f>
        <v>0</v>
      </c>
      <c r="K11" s="127">
        <f>IF($C11&lt;10,0.0013,0.0006)*$C11*$F11*31</f>
        <v>0</v>
      </c>
      <c r="L11" s="127">
        <f>IF($C11&lt;10,0.0013,0.0006)*$C11*$F11*30</f>
        <v>0</v>
      </c>
      <c r="M11" s="127">
        <f aca="true" t="shared" si="0" ref="M11:N13">IF($C11&lt;10,0.0013,0.0006)*$C11*$F11*31</f>
        <v>0</v>
      </c>
      <c r="N11" s="127">
        <f t="shared" si="0"/>
        <v>0</v>
      </c>
      <c r="O11" s="127">
        <f>IF($C11&lt;10,0.0013,0.0006)*$C11*$F11*30</f>
        <v>0</v>
      </c>
      <c r="P11" s="127">
        <f>IF($C11&lt;10,0.0013,0.0006)*$C11*$F11*31</f>
        <v>0</v>
      </c>
      <c r="Q11" s="127">
        <f>IF($C11&lt;10,0.0013,0.0006)*$C11*$F11*30</f>
        <v>0</v>
      </c>
      <c r="R11" s="128">
        <f>IF($C11&lt;10,0.0013,0.0006)*$C11*$F11*31</f>
        <v>0</v>
      </c>
      <c r="S11" s="129">
        <f>SUM(G11:R11)</f>
        <v>0</v>
      </c>
    </row>
    <row r="12" spans="1:19" ht="12.75">
      <c r="A12" s="61">
        <f>A11+1</f>
        <v>4</v>
      </c>
      <c r="B12" s="136">
        <f>'Расход тепла на растопку'!B12</f>
        <v>0</v>
      </c>
      <c r="C12" s="637"/>
      <c r="D12" s="638"/>
      <c r="E12" s="648"/>
      <c r="F12" s="649"/>
      <c r="G12" s="193">
        <f>IF($C12&lt;10,0.0013,0.0006)*$C12*$F12*31</f>
        <v>0</v>
      </c>
      <c r="H12" s="127">
        <f>IF($C12&lt;10,0.0013,0.0006)*$C12*$F12*28</f>
        <v>0</v>
      </c>
      <c r="I12" s="127">
        <f>IF($C12&lt;10,0.0013,0.0006)*$C12*$F12*31</f>
        <v>0</v>
      </c>
      <c r="J12" s="127">
        <f>IF($C12&lt;10,0.0013,0.0006)*$C12*$F12*30</f>
        <v>0</v>
      </c>
      <c r="K12" s="127">
        <f>IF($C12&lt;10,0.0013,0.0006)*$C12*$F12*31</f>
        <v>0</v>
      </c>
      <c r="L12" s="127">
        <f>IF($C12&lt;10,0.0013,0.0006)*$C12*$F12*30</f>
        <v>0</v>
      </c>
      <c r="M12" s="127">
        <f t="shared" si="0"/>
        <v>0</v>
      </c>
      <c r="N12" s="127">
        <f t="shared" si="0"/>
        <v>0</v>
      </c>
      <c r="O12" s="127">
        <f>IF($C12&lt;10,0.0013,0.0006)*$C12*$F12*30</f>
        <v>0</v>
      </c>
      <c r="P12" s="127">
        <f>IF($C12&lt;10,0.0013,0.0006)*$C12*$F12*31</f>
        <v>0</v>
      </c>
      <c r="Q12" s="127">
        <f>IF($C12&lt;10,0.0013,0.0006)*$C12*$F12*30</f>
        <v>0</v>
      </c>
      <c r="R12" s="128">
        <f>IF($C12&lt;10,0.0013,0.0006)*$C12*$F12*31</f>
        <v>0</v>
      </c>
      <c r="S12" s="129">
        <f>SUM(G12:R12)</f>
        <v>0</v>
      </c>
    </row>
    <row r="13" spans="1:19" ht="13.5" thickBot="1">
      <c r="A13" s="105">
        <f>A12+1</f>
        <v>5</v>
      </c>
      <c r="B13" s="137">
        <f>'Расход тепла на растопку'!B13</f>
        <v>0</v>
      </c>
      <c r="C13" s="639"/>
      <c r="D13" s="640"/>
      <c r="E13" s="650"/>
      <c r="F13" s="651"/>
      <c r="G13" s="193">
        <f>IF($C13&lt;10,0.0013,0.0006)*$C13*$F13*31</f>
        <v>0</v>
      </c>
      <c r="H13" s="127">
        <f>IF($C13&lt;10,0.0013,0.0006)*$C13*$F13*28</f>
        <v>0</v>
      </c>
      <c r="I13" s="127">
        <f>IF($C13&lt;10,0.0013,0.0006)*$C13*$F13*31</f>
        <v>0</v>
      </c>
      <c r="J13" s="127">
        <f>IF($C13&lt;10,0.0013,0.0006)*$C13*$F13*30</f>
        <v>0</v>
      </c>
      <c r="K13" s="127">
        <f>IF($C13&lt;10,0.0013,0.0006)*$C13*$F13*31</f>
        <v>0</v>
      </c>
      <c r="L13" s="127">
        <f>IF($C13&lt;10,0.0013,0.0006)*$C13*$F13*30</f>
        <v>0</v>
      </c>
      <c r="M13" s="127">
        <f t="shared" si="0"/>
        <v>0</v>
      </c>
      <c r="N13" s="127">
        <f t="shared" si="0"/>
        <v>0</v>
      </c>
      <c r="O13" s="127">
        <f>IF($C13&lt;10,0.0013,0.0006)*$C13*$F13*30</f>
        <v>0</v>
      </c>
      <c r="P13" s="127">
        <f>IF($C13&lt;10,0.0013,0.0006)*$C13*$F13*31</f>
        <v>0</v>
      </c>
      <c r="Q13" s="127">
        <f>IF($C13&lt;10,0.0013,0.0006)*$C13*$F13*30</f>
        <v>0</v>
      </c>
      <c r="R13" s="128">
        <f>IF($C13&lt;10,0.0013,0.0006)*$C13*$F13*31</f>
        <v>0</v>
      </c>
      <c r="S13" s="129">
        <f>SUM(G13:R13)</f>
        <v>0</v>
      </c>
    </row>
    <row r="14" spans="1:19" ht="4.5" customHeight="1" thickBot="1">
      <c r="A14" s="83"/>
      <c r="B14" s="84"/>
      <c r="C14" s="85"/>
      <c r="D14" s="85"/>
      <c r="E14" s="85"/>
      <c r="F14" s="85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1"/>
    </row>
    <row r="15" spans="1:19" ht="13.5" thickBot="1">
      <c r="A15" s="88" t="s">
        <v>12</v>
      </c>
      <c r="B15" s="67"/>
      <c r="C15" s="67"/>
      <c r="D15" s="67"/>
      <c r="E15" s="67"/>
      <c r="F15" s="67"/>
      <c r="G15" s="132">
        <f aca="true" t="shared" si="1" ref="G15:S15">SUM(G9:G14)</f>
        <v>15.623999999999999</v>
      </c>
      <c r="H15" s="133">
        <f t="shared" si="1"/>
        <v>14.111999999999998</v>
      </c>
      <c r="I15" s="133">
        <f t="shared" si="1"/>
        <v>15.623999999999999</v>
      </c>
      <c r="J15" s="133">
        <f t="shared" si="1"/>
        <v>15.119999999999997</v>
      </c>
      <c r="K15" s="133">
        <f t="shared" si="1"/>
        <v>15.623999999999999</v>
      </c>
      <c r="L15" s="133">
        <f t="shared" si="1"/>
        <v>15.119999999999997</v>
      </c>
      <c r="M15" s="133">
        <f t="shared" si="1"/>
        <v>15.623999999999999</v>
      </c>
      <c r="N15" s="133">
        <f t="shared" si="1"/>
        <v>15.623999999999999</v>
      </c>
      <c r="O15" s="133">
        <f t="shared" si="1"/>
        <v>15.119999999999997</v>
      </c>
      <c r="P15" s="133">
        <f t="shared" si="1"/>
        <v>15.623999999999999</v>
      </c>
      <c r="Q15" s="133">
        <f t="shared" si="1"/>
        <v>15.119999999999997</v>
      </c>
      <c r="R15" s="134">
        <f t="shared" si="1"/>
        <v>15.623999999999999</v>
      </c>
      <c r="S15" s="135">
        <f t="shared" si="1"/>
        <v>183.95999999999998</v>
      </c>
    </row>
    <row r="18" spans="1:19" ht="12.75" customHeight="1">
      <c r="A18" s="652" t="s">
        <v>107</v>
      </c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</row>
    <row r="19" ht="13.5" thickBot="1"/>
    <row r="20" spans="1:19" ht="55.5" customHeight="1">
      <c r="A20" s="653" t="s">
        <v>13</v>
      </c>
      <c r="B20" s="655" t="s">
        <v>18</v>
      </c>
      <c r="C20" s="199" t="s">
        <v>108</v>
      </c>
      <c r="D20" s="51" t="s">
        <v>109</v>
      </c>
      <c r="E20" s="51" t="s">
        <v>97</v>
      </c>
      <c r="F20" s="53" t="s">
        <v>110</v>
      </c>
      <c r="G20" s="191" t="s">
        <v>0</v>
      </c>
      <c r="H20" s="55" t="s">
        <v>1</v>
      </c>
      <c r="I20" s="55" t="s">
        <v>2</v>
      </c>
      <c r="J20" s="55" t="s">
        <v>3</v>
      </c>
      <c r="K20" s="55" t="s">
        <v>4</v>
      </c>
      <c r="L20" s="55" t="s">
        <v>5</v>
      </c>
      <c r="M20" s="55" t="s">
        <v>6</v>
      </c>
      <c r="N20" s="55" t="s">
        <v>7</v>
      </c>
      <c r="O20" s="55" t="s">
        <v>8</v>
      </c>
      <c r="P20" s="55" t="s">
        <v>9</v>
      </c>
      <c r="Q20" s="55" t="s">
        <v>10</v>
      </c>
      <c r="R20" s="195" t="s">
        <v>11</v>
      </c>
      <c r="S20" s="57" t="s">
        <v>16</v>
      </c>
    </row>
    <row r="21" spans="1:19" ht="13.5" thickBot="1">
      <c r="A21" s="654"/>
      <c r="B21" s="656"/>
      <c r="C21" s="164" t="s">
        <v>39</v>
      </c>
      <c r="D21" s="74" t="s">
        <v>96</v>
      </c>
      <c r="E21" s="74" t="s">
        <v>96</v>
      </c>
      <c r="F21" s="59" t="s">
        <v>20</v>
      </c>
      <c r="G21" s="657" t="s">
        <v>22</v>
      </c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9"/>
      <c r="S21" s="60" t="s">
        <v>15</v>
      </c>
    </row>
    <row r="22" spans="1:19" ht="12.75">
      <c r="A22" s="100">
        <v>1</v>
      </c>
      <c r="B22" s="138" t="str">
        <f aca="true" t="shared" si="2" ref="B22:C26">B9</f>
        <v>ДКВР-20</v>
      </c>
      <c r="C22" s="213">
        <f t="shared" si="2"/>
        <v>15</v>
      </c>
      <c r="D22" s="201">
        <v>639</v>
      </c>
      <c r="E22" s="202">
        <v>400</v>
      </c>
      <c r="F22" s="203">
        <v>24</v>
      </c>
      <c r="G22" s="194">
        <f>IF($C22&lt;10,0.0025,0.003)*$C22*($D22-$E22)*$F22*31*10^(-6)</f>
        <v>0.00800172</v>
      </c>
      <c r="H22" s="200">
        <f>IF($C22&lt;10,0.0025,0.003)*$C22*($D22-$E22)*$F22*28*10^(-6)</f>
        <v>0.00722736</v>
      </c>
      <c r="I22" s="200">
        <f aca="true" t="shared" si="3" ref="I22:R26">IF($C22&lt;10,0.0025,0.003)*$C22*($D22-$E22)*$F22*31*10^(-6)</f>
        <v>0.00800172</v>
      </c>
      <c r="J22" s="200">
        <f>IF($C22&lt;10,0.0025,0.003)*$C22*($D22-$E22)*$F22*30*10^(-6)</f>
        <v>0.0077436</v>
      </c>
      <c r="K22" s="200">
        <f t="shared" si="3"/>
        <v>0.00800172</v>
      </c>
      <c r="L22" s="200">
        <f>IF($C22&lt;10,0.0025,0.003)*$C22*($D22-$E22)*$F22*30*10^(-6)</f>
        <v>0.0077436</v>
      </c>
      <c r="M22" s="200">
        <f t="shared" si="3"/>
        <v>0.00800172</v>
      </c>
      <c r="N22" s="200">
        <f t="shared" si="3"/>
        <v>0.00800172</v>
      </c>
      <c r="O22" s="200">
        <f>IF($C22&lt;10,0.0025,0.003)*$C22*($D22-$E22)*$F22*30*10^(-6)</f>
        <v>0.0077436</v>
      </c>
      <c r="P22" s="200">
        <f t="shared" si="3"/>
        <v>0.00800172</v>
      </c>
      <c r="Q22" s="200">
        <f>IF($C22&lt;10,0.0025,0.003)*$C22*($D22-$E22)*$F22*30*10^(-6)</f>
        <v>0.0077436</v>
      </c>
      <c r="R22" s="165">
        <f t="shared" si="3"/>
        <v>0.00800172</v>
      </c>
      <c r="S22" s="126">
        <f>SUM(G22:R22)</f>
        <v>0.09421380000000003</v>
      </c>
    </row>
    <row r="23" spans="1:19" ht="12.75">
      <c r="A23" s="61">
        <f>A22+1</f>
        <v>2</v>
      </c>
      <c r="B23" s="136" t="str">
        <f t="shared" si="2"/>
        <v>ДЕ-25</v>
      </c>
      <c r="C23" s="214">
        <f t="shared" si="2"/>
        <v>20</v>
      </c>
      <c r="D23" s="204">
        <v>639</v>
      </c>
      <c r="E23" s="205">
        <v>400</v>
      </c>
      <c r="F23" s="206">
        <v>24</v>
      </c>
      <c r="G23" s="193">
        <f>IF($C23&lt;10,0.0025,0.003)*$C23*($D23-$E23)*$F23*31*10^(-6)</f>
        <v>0.010668959999999998</v>
      </c>
      <c r="H23" s="127">
        <f>IF($C23&lt;10,0.0025,0.003)*$C23*($D23-$E23)*$F23*28*10^(-6)</f>
        <v>0.00963648</v>
      </c>
      <c r="I23" s="127">
        <f t="shared" si="3"/>
        <v>0.010668959999999998</v>
      </c>
      <c r="J23" s="127">
        <f>IF($C23&lt;10,0.0025,0.003)*$C23*($D23-$E23)*$F23*30*10^(-6)</f>
        <v>0.010324799999999999</v>
      </c>
      <c r="K23" s="127">
        <f t="shared" si="3"/>
        <v>0.010668959999999998</v>
      </c>
      <c r="L23" s="127">
        <f>IF($C23&lt;10,0.0025,0.003)*$C23*($D23-$E23)*$F23*30*10^(-6)</f>
        <v>0.010324799999999999</v>
      </c>
      <c r="M23" s="127">
        <f t="shared" si="3"/>
        <v>0.010668959999999998</v>
      </c>
      <c r="N23" s="127">
        <f t="shared" si="3"/>
        <v>0.010668959999999998</v>
      </c>
      <c r="O23" s="127">
        <f>IF($C23&lt;10,0.0025,0.003)*$C23*($D23-$E23)*$F23*30*10^(-6)</f>
        <v>0.010324799999999999</v>
      </c>
      <c r="P23" s="127">
        <f t="shared" si="3"/>
        <v>0.010668959999999998</v>
      </c>
      <c r="Q23" s="127">
        <f>IF($C23&lt;10,0.0025,0.003)*$C23*($D23-$E23)*$F23*30*10^(-6)</f>
        <v>0.010324799999999999</v>
      </c>
      <c r="R23" s="128">
        <f t="shared" si="3"/>
        <v>0.010668959999999998</v>
      </c>
      <c r="S23" s="129">
        <f>SUM(G23:R23)</f>
        <v>0.1256184</v>
      </c>
    </row>
    <row r="24" spans="1:19" ht="12.75">
      <c r="A24" s="61">
        <f>A23+1</f>
        <v>3</v>
      </c>
      <c r="B24" s="136">
        <f t="shared" si="2"/>
        <v>0</v>
      </c>
      <c r="C24" s="214">
        <f t="shared" si="2"/>
        <v>0</v>
      </c>
      <c r="D24" s="204"/>
      <c r="E24" s="205"/>
      <c r="F24" s="206"/>
      <c r="G24" s="193">
        <f>IF($C24&lt;10,0.0025,0.003)*$C24*($D24-$E24)*$F24*31*10^(-6)</f>
        <v>0</v>
      </c>
      <c r="H24" s="127">
        <f>IF($C24&lt;10,0.0025,0.003)*$C24*($D24-$E24)*$F24*28*10^(-6)</f>
        <v>0</v>
      </c>
      <c r="I24" s="127">
        <f t="shared" si="3"/>
        <v>0</v>
      </c>
      <c r="J24" s="127">
        <f>IF($C24&lt;10,0.0025,0.003)*$C24*($D24-$E24)*$F24*30*10^(-6)</f>
        <v>0</v>
      </c>
      <c r="K24" s="127">
        <f t="shared" si="3"/>
        <v>0</v>
      </c>
      <c r="L24" s="127">
        <f>IF($C24&lt;10,0.0025,0.003)*$C24*($D24-$E24)*$F24*30*10^(-6)</f>
        <v>0</v>
      </c>
      <c r="M24" s="127">
        <f t="shared" si="3"/>
        <v>0</v>
      </c>
      <c r="N24" s="127">
        <f t="shared" si="3"/>
        <v>0</v>
      </c>
      <c r="O24" s="127">
        <f>IF($C24&lt;10,0.0025,0.003)*$C24*($D24-$E24)*$F24*30*10^(-6)</f>
        <v>0</v>
      </c>
      <c r="P24" s="127">
        <f t="shared" si="3"/>
        <v>0</v>
      </c>
      <c r="Q24" s="127">
        <f>IF($C24&lt;10,0.0025,0.003)*$C24*($D24-$E24)*$F24*30*10^(-6)</f>
        <v>0</v>
      </c>
      <c r="R24" s="128">
        <f t="shared" si="3"/>
        <v>0</v>
      </c>
      <c r="S24" s="129">
        <f>SUM(G24:R24)</f>
        <v>0</v>
      </c>
    </row>
    <row r="25" spans="1:19" ht="12.75">
      <c r="A25" s="61">
        <f>A24+1</f>
        <v>4</v>
      </c>
      <c r="B25" s="136">
        <f t="shared" si="2"/>
        <v>0</v>
      </c>
      <c r="C25" s="214">
        <f t="shared" si="2"/>
        <v>0</v>
      </c>
      <c r="D25" s="204"/>
      <c r="E25" s="205"/>
      <c r="F25" s="206"/>
      <c r="G25" s="193">
        <f>IF($C25&lt;10,0.0025,0.003)*$C25*($D25-$E25)*$F25*31*10^(-6)</f>
        <v>0</v>
      </c>
      <c r="H25" s="127">
        <f>IF($C25&lt;10,0.0025,0.003)*$C25*($D25-$E25)*$F25*28*10^(-6)</f>
        <v>0</v>
      </c>
      <c r="I25" s="127">
        <f t="shared" si="3"/>
        <v>0</v>
      </c>
      <c r="J25" s="127">
        <f>IF($C25&lt;10,0.0025,0.003)*$C25*($D25-$E25)*$F25*30*10^(-6)</f>
        <v>0</v>
      </c>
      <c r="K25" s="127">
        <f t="shared" si="3"/>
        <v>0</v>
      </c>
      <c r="L25" s="127">
        <f>IF($C25&lt;10,0.0025,0.003)*$C25*($D25-$E25)*$F25*30*10^(-6)</f>
        <v>0</v>
      </c>
      <c r="M25" s="127">
        <f t="shared" si="3"/>
        <v>0</v>
      </c>
      <c r="N25" s="127">
        <f t="shared" si="3"/>
        <v>0</v>
      </c>
      <c r="O25" s="127">
        <f>IF($C25&lt;10,0.0025,0.003)*$C25*($D25-$E25)*$F25*30*10^(-6)</f>
        <v>0</v>
      </c>
      <c r="P25" s="127">
        <f t="shared" si="3"/>
        <v>0</v>
      </c>
      <c r="Q25" s="127">
        <f>IF($C25&lt;10,0.0025,0.003)*$C25*($D25-$E25)*$F25*30*10^(-6)</f>
        <v>0</v>
      </c>
      <c r="R25" s="128">
        <f t="shared" si="3"/>
        <v>0</v>
      </c>
      <c r="S25" s="129">
        <f>SUM(G25:R25)</f>
        <v>0</v>
      </c>
    </row>
    <row r="26" spans="1:19" ht="13.5" thickBot="1">
      <c r="A26" s="105">
        <f>A25+1</f>
        <v>5</v>
      </c>
      <c r="B26" s="137">
        <f t="shared" si="2"/>
        <v>0</v>
      </c>
      <c r="C26" s="215">
        <f t="shared" si="2"/>
        <v>0</v>
      </c>
      <c r="D26" s="207"/>
      <c r="E26" s="208"/>
      <c r="F26" s="209"/>
      <c r="G26" s="196">
        <f>IF($C26&lt;10,0.0025,0.003)*$C26*($D26-$E26)*$F26*31*10^(-6)</f>
        <v>0</v>
      </c>
      <c r="H26" s="197">
        <f>IF($C26&lt;10,0.0025,0.003)*$C26*($D26-$E26)*$F26*28*10^(-6)</f>
        <v>0</v>
      </c>
      <c r="I26" s="197">
        <f t="shared" si="3"/>
        <v>0</v>
      </c>
      <c r="J26" s="197">
        <f>IF($C26&lt;10,0.0025,0.003)*$C26*($D26-$E26)*$F26*30*10^(-6)</f>
        <v>0</v>
      </c>
      <c r="K26" s="197">
        <f t="shared" si="3"/>
        <v>0</v>
      </c>
      <c r="L26" s="197">
        <f>IF($C26&lt;10,0.0025,0.003)*$C26*($D26-$E26)*$F26*30*10^(-6)</f>
        <v>0</v>
      </c>
      <c r="M26" s="197">
        <f t="shared" si="3"/>
        <v>0</v>
      </c>
      <c r="N26" s="197">
        <f t="shared" si="3"/>
        <v>0</v>
      </c>
      <c r="O26" s="197">
        <f>IF($C26&lt;10,0.0025,0.003)*$C26*($D26-$E26)*$F26*30*10^(-6)</f>
        <v>0</v>
      </c>
      <c r="P26" s="197">
        <f t="shared" si="3"/>
        <v>0</v>
      </c>
      <c r="Q26" s="197">
        <f>IF($C26&lt;10,0.0025,0.003)*$C26*($D26-$E26)*$F26*30*10^(-6)</f>
        <v>0</v>
      </c>
      <c r="R26" s="198">
        <f t="shared" si="3"/>
        <v>0</v>
      </c>
      <c r="S26" s="129">
        <f>SUM(G26:R26)</f>
        <v>0</v>
      </c>
    </row>
    <row r="27" spans="1:19" ht="4.5" customHeight="1" thickBot="1">
      <c r="A27" s="83"/>
      <c r="B27" s="84"/>
      <c r="C27" s="85"/>
      <c r="D27" s="85"/>
      <c r="E27" s="85"/>
      <c r="F27" s="85"/>
      <c r="G27" s="130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1"/>
    </row>
    <row r="28" spans="1:19" ht="13.5" thickBot="1">
      <c r="A28" s="88" t="s">
        <v>12</v>
      </c>
      <c r="B28" s="67"/>
      <c r="C28" s="343">
        <f>SUM(C22:C27)</f>
        <v>35</v>
      </c>
      <c r="D28" s="67"/>
      <c r="E28" s="67"/>
      <c r="F28" s="67"/>
      <c r="G28" s="132">
        <f aca="true" t="shared" si="4" ref="G28:S28">SUM(G22:G27)</f>
        <v>0.01867068</v>
      </c>
      <c r="H28" s="133">
        <f t="shared" si="4"/>
        <v>0.016863839999999998</v>
      </c>
      <c r="I28" s="133">
        <f t="shared" si="4"/>
        <v>0.01867068</v>
      </c>
      <c r="J28" s="133">
        <f t="shared" si="4"/>
        <v>0.0180684</v>
      </c>
      <c r="K28" s="133">
        <f t="shared" si="4"/>
        <v>0.01867068</v>
      </c>
      <c r="L28" s="133">
        <f t="shared" si="4"/>
        <v>0.0180684</v>
      </c>
      <c r="M28" s="133">
        <f t="shared" si="4"/>
        <v>0.01867068</v>
      </c>
      <c r="N28" s="133">
        <f t="shared" si="4"/>
        <v>0.01867068</v>
      </c>
      <c r="O28" s="133">
        <f t="shared" si="4"/>
        <v>0.0180684</v>
      </c>
      <c r="P28" s="133">
        <f t="shared" si="4"/>
        <v>0.01867068</v>
      </c>
      <c r="Q28" s="133">
        <f t="shared" si="4"/>
        <v>0.0180684</v>
      </c>
      <c r="R28" s="134">
        <f t="shared" si="4"/>
        <v>0.01867068</v>
      </c>
      <c r="S28" s="135">
        <f t="shared" si="4"/>
        <v>0.21983220000000003</v>
      </c>
    </row>
    <row r="29" ht="13.5" thickBot="1"/>
    <row r="30" spans="1:19" ht="16.5" thickBot="1">
      <c r="A30" s="634" t="s">
        <v>111</v>
      </c>
      <c r="B30" s="635"/>
      <c r="C30" s="635"/>
      <c r="D30" s="635"/>
      <c r="E30" s="635"/>
      <c r="F30" s="636"/>
      <c r="G30" s="210">
        <f>G15+G28</f>
        <v>15.642670679999998</v>
      </c>
      <c r="H30" s="184">
        <f aca="true" t="shared" si="5" ref="H30:S30">H15+H28</f>
        <v>14.128863839999998</v>
      </c>
      <c r="I30" s="184">
        <f t="shared" si="5"/>
        <v>15.642670679999998</v>
      </c>
      <c r="J30" s="184">
        <f t="shared" si="5"/>
        <v>15.138068399999998</v>
      </c>
      <c r="K30" s="184">
        <f t="shared" si="5"/>
        <v>15.642670679999998</v>
      </c>
      <c r="L30" s="184">
        <f t="shared" si="5"/>
        <v>15.138068399999998</v>
      </c>
      <c r="M30" s="184">
        <f t="shared" si="5"/>
        <v>15.642670679999998</v>
      </c>
      <c r="N30" s="184">
        <f t="shared" si="5"/>
        <v>15.642670679999998</v>
      </c>
      <c r="O30" s="184">
        <f t="shared" si="5"/>
        <v>15.138068399999998</v>
      </c>
      <c r="P30" s="184">
        <f t="shared" si="5"/>
        <v>15.642670679999998</v>
      </c>
      <c r="Q30" s="184">
        <f t="shared" si="5"/>
        <v>15.138068399999998</v>
      </c>
      <c r="R30" s="211">
        <f t="shared" si="5"/>
        <v>15.642670679999998</v>
      </c>
      <c r="S30" s="212">
        <f t="shared" si="5"/>
        <v>184.1798322</v>
      </c>
    </row>
  </sheetData>
  <sheetProtection sheet="1" objects="1" scenarios="1"/>
  <mergeCells count="25">
    <mergeCell ref="C11:D11"/>
    <mergeCell ref="A5:S5"/>
    <mergeCell ref="A7:A8"/>
    <mergeCell ref="B7:B8"/>
    <mergeCell ref="G8:R8"/>
    <mergeCell ref="E13:F13"/>
    <mergeCell ref="A3:S3"/>
    <mergeCell ref="A18:S18"/>
    <mergeCell ref="A20:A21"/>
    <mergeCell ref="B20:B21"/>
    <mergeCell ref="G21:R21"/>
    <mergeCell ref="C7:D7"/>
    <mergeCell ref="C8:D8"/>
    <mergeCell ref="C9:D9"/>
    <mergeCell ref="C10:D10"/>
    <mergeCell ref="A2:C2"/>
    <mergeCell ref="A30:F30"/>
    <mergeCell ref="C12:D12"/>
    <mergeCell ref="C13:D13"/>
    <mergeCell ref="E7:F7"/>
    <mergeCell ref="E8:F8"/>
    <mergeCell ref="E9:F9"/>
    <mergeCell ref="E10:F10"/>
    <mergeCell ref="E11:F11"/>
    <mergeCell ref="E12:F12"/>
  </mergeCells>
  <hyperlinks>
    <hyperlink ref="A2" location="Оглавление!A1" display="Возврат в оглавление"/>
  </hyperlinks>
  <printOptions/>
  <pageMargins left="0.45" right="0.37" top="1" bottom="1" header="0.5" footer="0.5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showGridLines="0" zoomScale="70" zoomScaleNormal="70" workbookViewId="0" topLeftCell="A1">
      <selection activeCell="A2" sqref="A2:C2"/>
    </sheetView>
  </sheetViews>
  <sheetFormatPr defaultColWidth="9.140625" defaultRowHeight="12.75"/>
  <cols>
    <col min="1" max="1" width="5.140625" style="73" customWidth="1"/>
    <col min="2" max="2" width="18.8515625" style="73" customWidth="1"/>
    <col min="3" max="3" width="10.140625" style="73" customWidth="1"/>
    <col min="4" max="4" width="9.8515625" style="73" customWidth="1"/>
    <col min="5" max="5" width="8.00390625" style="73" customWidth="1"/>
    <col min="6" max="6" width="9.7109375" style="73" customWidth="1"/>
    <col min="7" max="7" width="8.8515625" style="73" customWidth="1"/>
    <col min="8" max="8" width="8.7109375" style="73" customWidth="1"/>
    <col min="9" max="20" width="9.7109375" style="73" customWidth="1"/>
    <col min="21" max="21" width="11.140625" style="73" customWidth="1"/>
    <col min="22" max="16384" width="9.140625" style="73" customWidth="1"/>
  </cols>
  <sheetData>
    <row r="1" ht="10.5" customHeight="1" thickBot="1"/>
    <row r="2" spans="1:3" ht="22.5" customHeight="1" thickBot="1" thickTop="1">
      <c r="A2" s="474" t="s">
        <v>190</v>
      </c>
      <c r="B2" s="457"/>
      <c r="C2" s="458"/>
    </row>
    <row r="3" ht="13.5" thickTop="1"/>
    <row r="4" spans="1:21" ht="18.75">
      <c r="A4" s="620" t="s">
        <v>34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</row>
    <row r="6" spans="1:21" ht="15.75">
      <c r="A6" s="652" t="s">
        <v>35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</row>
    <row r="7" ht="13.5" thickBot="1"/>
    <row r="8" spans="1:21" ht="69" customHeight="1">
      <c r="A8" s="653" t="s">
        <v>13</v>
      </c>
      <c r="B8" s="655" t="s">
        <v>36</v>
      </c>
      <c r="C8" s="51" t="s">
        <v>53</v>
      </c>
      <c r="D8" s="51" t="s">
        <v>54</v>
      </c>
      <c r="E8" s="51" t="s">
        <v>45</v>
      </c>
      <c r="F8" s="51" t="s">
        <v>52</v>
      </c>
      <c r="G8" s="51" t="s">
        <v>51</v>
      </c>
      <c r="H8" s="53" t="s">
        <v>48</v>
      </c>
      <c r="I8" s="54" t="s">
        <v>0</v>
      </c>
      <c r="J8" s="55" t="s">
        <v>1</v>
      </c>
      <c r="K8" s="55" t="s">
        <v>2</v>
      </c>
      <c r="L8" s="55" t="s">
        <v>3</v>
      </c>
      <c r="M8" s="55" t="s">
        <v>4</v>
      </c>
      <c r="N8" s="55" t="s">
        <v>5</v>
      </c>
      <c r="O8" s="55" t="s">
        <v>6</v>
      </c>
      <c r="P8" s="55" t="s">
        <v>7</v>
      </c>
      <c r="Q8" s="55" t="s">
        <v>8</v>
      </c>
      <c r="R8" s="55" t="s">
        <v>9</v>
      </c>
      <c r="S8" s="55" t="s">
        <v>10</v>
      </c>
      <c r="T8" s="56" t="s">
        <v>11</v>
      </c>
      <c r="U8" s="57" t="s">
        <v>16</v>
      </c>
    </row>
    <row r="9" spans="1:21" ht="31.5" customHeight="1" thickBot="1">
      <c r="A9" s="654"/>
      <c r="B9" s="656"/>
      <c r="C9" s="74" t="s">
        <v>39</v>
      </c>
      <c r="D9" s="74" t="s">
        <v>39</v>
      </c>
      <c r="E9" s="74" t="s">
        <v>44</v>
      </c>
      <c r="F9" s="74" t="s">
        <v>14</v>
      </c>
      <c r="G9" s="74" t="s">
        <v>14</v>
      </c>
      <c r="H9" s="59" t="s">
        <v>20</v>
      </c>
      <c r="I9" s="658" t="s">
        <v>22</v>
      </c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9"/>
      <c r="U9" s="60" t="s">
        <v>15</v>
      </c>
    </row>
    <row r="10" spans="1:21" s="79" customFormat="1" ht="12.75">
      <c r="A10" s="75">
        <v>1</v>
      </c>
      <c r="B10" s="76" t="s">
        <v>37</v>
      </c>
      <c r="C10" s="69">
        <v>10</v>
      </c>
      <c r="D10" s="69">
        <v>3</v>
      </c>
      <c r="E10" s="69">
        <v>1.3</v>
      </c>
      <c r="F10" s="69">
        <v>30</v>
      </c>
      <c r="G10" s="69">
        <v>5</v>
      </c>
      <c r="H10" s="416">
        <v>12</v>
      </c>
      <c r="I10" s="411" t="e">
        <f>IF('Параметры теплоносителя'!#REF!&gt;0,$C10,$D10)*(IF($C$17=1,0.0157*$E10+0.0156,0.0079*$E10+0.0073))*($F10-$G10)*$H10*31*10^(-6)</f>
        <v>#REF!</v>
      </c>
      <c r="J10" s="117" t="e">
        <f>IF('Параметры теплоносителя'!#REF!&gt;0,$C10,$D10)*(IF($C$17=1,0.0157*$E10+0.0156,0.0079*$E10+0.0073))*($F10-$G10)*$H10*28*10^(-6)</f>
        <v>#REF!</v>
      </c>
      <c r="K10" s="117">
        <f>IF('Параметры теплоносителя'!$D$10&gt;0,$C10,$D10)*(IF($C$17=1,0.0157*$E10+0.0156,0.0079*$E10+0.0073))*($F10-$G10)*$H10*31*10^(-6)</f>
        <v>0.001004679</v>
      </c>
      <c r="L10" s="117">
        <f>IF('Параметры теплоносителя'!$D$11&gt;0,$C10,$D10)*(IF($C$17=1,0.0157*$E10+0.0156,0.0079*$E10+0.0073))*($F10-$G10)*$H10*30*10^(-6)</f>
        <v>0.0009722700000000001</v>
      </c>
      <c r="M10" s="117">
        <f>IF('Параметры теплоносителя'!$D$12&gt;0,$C10,$D10)*(IF($C$17=1,0.0157*$E10+0.0156,0.0079*$E10+0.0073))*($F10-$G10)*$H10*31*10^(-6)</f>
        <v>0.0033489299999999995</v>
      </c>
      <c r="N10" s="117">
        <f>IF('Параметры теплоносителя'!$D$13&gt;0,$C10,$D10)*(IF($C$17=1,0.0157*$E10+0.0156,0.0079*$E10+0.0073))*($F10-$G10)*$H10*30*10^(-6)</f>
        <v>0.0009722700000000001</v>
      </c>
      <c r="O10" s="117">
        <f>IF('Параметры теплоносителя'!$D$14&gt;0,$C10,$D10)*(IF($C$17=1,0.0157*$E10+0.0156,0.0079*$E10+0.0073))*($F10-$G10)*$H10*31*10^(-6)</f>
        <v>0.0033489299999999995</v>
      </c>
      <c r="P10" s="117">
        <f>IF('Параметры теплоносителя'!$D$15&gt;0,$C10,$D10)*(IF($C$17=1,0.0157*$E10+0.0156,0.0079*$E10+0.0073))*($F10-$G10)*$H10*31*10^(-6)</f>
        <v>0.0033489299999999995</v>
      </c>
      <c r="Q10" s="117">
        <f>IF('Параметры теплоносителя'!$D$16&gt;0,$C10,$D10)*(IF($C$17=1,0.0157*$E10+0.0156,0.0079*$E10+0.0073))*($F10-$G10)*$H10*30*10^(-6)</f>
        <v>0.0009722700000000001</v>
      </c>
      <c r="R10" s="117">
        <f>IF('Параметры теплоносителя'!$D$17&gt;0,$C10,$D10)*(IF($C$17=1,0.0157*$E10+0.0156,0.0079*$E10+0.0073))*($F10-$G10)*$H10*31*10^(-6)</f>
        <v>0.001004679</v>
      </c>
      <c r="S10" s="117">
        <f>IF('Параметры теплоносителя'!$D$18&gt;0,$C10,$D10)*(IF($C$17=1,0.0157*$E10+0.0156,0.0079*$E10+0.0073))*($F10-$G10)*$H10*30*10^(-6)</f>
        <v>0.0009722700000000001</v>
      </c>
      <c r="T10" s="118">
        <f>IF('Параметры теплоносителя'!$D$19&gt;0,$C10,$D10)*(IF($C$17=1,0.0157*$E10+0.0156,0.0079*$E10+0.0073))*($F10-$G10)*$H10*31*10^(-6)</f>
        <v>0.001004679</v>
      </c>
      <c r="U10" s="119" t="e">
        <f>SUM(I10:T10)</f>
        <v>#REF!</v>
      </c>
    </row>
    <row r="11" spans="1:21" s="79" customFormat="1" ht="38.25">
      <c r="A11" s="80">
        <f>A10+1</f>
        <v>2</v>
      </c>
      <c r="B11" s="81" t="s">
        <v>38</v>
      </c>
      <c r="C11" s="70"/>
      <c r="D11" s="70"/>
      <c r="E11" s="70"/>
      <c r="F11" s="70"/>
      <c r="G11" s="70"/>
      <c r="H11" s="417"/>
      <c r="I11" s="412" t="e">
        <f>IF('Параметры теплоносителя'!#REF!&gt;0,$C11,$D11)*(IF($C$17=1,0.0229*$E11+0.0066,0))*($F11-$G11)*$H11*31*10^(-6)</f>
        <v>#REF!</v>
      </c>
      <c r="J11" s="120" t="e">
        <f>IF('Параметры теплоносителя'!#REF!&gt;0,$C11,$D11)*(IF($C$17=1,0.0229*$E11+0.0066,0))*($F11-$G11)*$H11*28*10^(-6)</f>
        <v>#REF!</v>
      </c>
      <c r="K11" s="120">
        <f>IF('Параметры теплоносителя'!$D$10&gt;0,$C11,$D11)*(IF($C$17=1,0.0229*$E11+0.0066,0))*($F11-$G11)*$H11*31*10^(-6)</f>
        <v>0</v>
      </c>
      <c r="L11" s="120">
        <f>IF('Параметры теплоносителя'!$D$11&gt;0,$C11,$D11)*(IF($C$17=1,0.0229*$E11+0.0066,0))*($F11-$G11)*$H11*30*10^(-6)</f>
        <v>0</v>
      </c>
      <c r="M11" s="120">
        <f>IF('Параметры теплоносителя'!$D$12&gt;0,$C11,$D11)*(IF($C$17=1,0.0229*$E11+0.0066,0))*($F11-$G11)*$H11*31*10^(-6)</f>
        <v>0</v>
      </c>
      <c r="N11" s="120">
        <f>IF('Параметры теплоносителя'!$D$13&gt;0,$C11,$D11)*(IF($C$17=1,0.0229*$E11+0.0066,0))*($F11-$G11)*$H11*30*10^(-6)</f>
        <v>0</v>
      </c>
      <c r="O11" s="120">
        <f>IF('Параметры теплоносителя'!$D$14&gt;0,$C11,$D11)*(IF($C$17=1,0.0229*$E11+0.0066,0))*($F11-$G11)*$H11*31*10^(-6)</f>
        <v>0</v>
      </c>
      <c r="P11" s="120">
        <f>IF('Параметры теплоносителя'!$D$15&gt;0,$C11,$D11)*(IF($C$17=1,0.0229*$E11+0.0066,0))*($F11-$G11)*$H11*31*10^(-6)</f>
        <v>0</v>
      </c>
      <c r="Q11" s="120">
        <f>IF('Параметры теплоносителя'!$D$16&gt;0,$C11,$D11)*(IF($C$17=1,0.0229*$E11+0.0066,0))*($F11-$G11)*$H11*30*10^(-6)</f>
        <v>0</v>
      </c>
      <c r="R11" s="120">
        <f>IF('Параметры теплоносителя'!$D$17&gt;0,$C11,$D11)*(IF($C$17=1,0.0229*$E11+0.0066,0))*($F11-$G11)*$H11*31*10^(-6)</f>
        <v>0</v>
      </c>
      <c r="S11" s="120">
        <f>IF('Параметры теплоносителя'!$D$18&gt;0,$C11,$D11)*(IF($C$17=1,0.0229*$E11+0.0066,0))*($F11-$G11)*$H11*30*10^(-6)</f>
        <v>0</v>
      </c>
      <c r="T11" s="121">
        <f>IF('Параметры теплоносителя'!$D$19&gt;0,$C11,$D11)*(IF($C$17=1,0.0229*$E11+0.0066,0))*($F11-$G11)*$H11*31*10^(-6)</f>
        <v>0</v>
      </c>
      <c r="U11" s="122" t="e">
        <f>SUM(I11:T11)</f>
        <v>#REF!</v>
      </c>
    </row>
    <row r="12" spans="1:21" s="79" customFormat="1" ht="13.5" thickBot="1">
      <c r="A12" s="82">
        <f>A11+1</f>
        <v>3</v>
      </c>
      <c r="B12" s="71"/>
      <c r="C12" s="72"/>
      <c r="D12" s="72"/>
      <c r="E12" s="72"/>
      <c r="F12" s="72"/>
      <c r="G12" s="72"/>
      <c r="H12" s="418"/>
      <c r="I12" s="41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2">
        <f>SUM(I12:T12)</f>
        <v>0</v>
      </c>
    </row>
    <row r="13" spans="1:21" ht="4.5" customHeight="1" thickBot="1">
      <c r="A13" s="83"/>
      <c r="B13" s="84"/>
      <c r="C13" s="85"/>
      <c r="D13" s="85"/>
      <c r="E13" s="85"/>
      <c r="F13" s="85"/>
      <c r="G13" s="85"/>
      <c r="H13" s="85"/>
      <c r="I13" s="8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87"/>
    </row>
    <row r="14" spans="1:21" ht="13.5" thickBot="1">
      <c r="A14" s="88" t="s">
        <v>12</v>
      </c>
      <c r="B14" s="67"/>
      <c r="C14" s="669"/>
      <c r="D14" s="669"/>
      <c r="E14" s="669"/>
      <c r="F14" s="669"/>
      <c r="G14" s="669"/>
      <c r="H14" s="670"/>
      <c r="I14" s="89" t="e">
        <f aca="true" t="shared" si="0" ref="I14:U14">SUM(I10:I13)</f>
        <v>#REF!</v>
      </c>
      <c r="J14" s="90" t="e">
        <f t="shared" si="0"/>
        <v>#REF!</v>
      </c>
      <c r="K14" s="90">
        <f t="shared" si="0"/>
        <v>0.001004679</v>
      </c>
      <c r="L14" s="90">
        <f t="shared" si="0"/>
        <v>0.0009722700000000001</v>
      </c>
      <c r="M14" s="90">
        <f t="shared" si="0"/>
        <v>0.0033489299999999995</v>
      </c>
      <c r="N14" s="90">
        <f t="shared" si="0"/>
        <v>0.0009722700000000001</v>
      </c>
      <c r="O14" s="90">
        <f t="shared" si="0"/>
        <v>0.0033489299999999995</v>
      </c>
      <c r="P14" s="90">
        <f t="shared" si="0"/>
        <v>0.0033489299999999995</v>
      </c>
      <c r="Q14" s="90">
        <f t="shared" si="0"/>
        <v>0.0009722700000000001</v>
      </c>
      <c r="R14" s="90">
        <f t="shared" si="0"/>
        <v>0.001004679</v>
      </c>
      <c r="S14" s="90">
        <f t="shared" si="0"/>
        <v>0.0009722700000000001</v>
      </c>
      <c r="T14" s="91">
        <f t="shared" si="0"/>
        <v>0.001004679</v>
      </c>
      <c r="U14" s="92" t="e">
        <f t="shared" si="0"/>
        <v>#REF!</v>
      </c>
    </row>
    <row r="15" ht="13.5" thickBot="1"/>
    <row r="16" spans="2:9" ht="13.5" thickBot="1">
      <c r="B16" s="93" t="s">
        <v>40</v>
      </c>
      <c r="C16" s="665" t="s">
        <v>43</v>
      </c>
      <c r="D16" s="666"/>
      <c r="E16" s="94"/>
      <c r="F16" s="663" t="s">
        <v>46</v>
      </c>
      <c r="G16" s="663"/>
      <c r="H16" s="663" t="s">
        <v>43</v>
      </c>
      <c r="I16" s="663"/>
    </row>
    <row r="17" spans="2:12" ht="13.5" thickBot="1">
      <c r="B17" s="95" t="s">
        <v>41</v>
      </c>
      <c r="C17" s="667">
        <v>1</v>
      </c>
      <c r="D17" s="668"/>
      <c r="E17" s="96"/>
      <c r="F17" s="663" t="s">
        <v>47</v>
      </c>
      <c r="G17" s="663"/>
      <c r="H17" s="664">
        <v>0</v>
      </c>
      <c r="I17" s="664"/>
      <c r="L17" s="97"/>
    </row>
    <row r="18" spans="2:11" ht="13.5" thickBot="1">
      <c r="B18" s="98" t="s">
        <v>42</v>
      </c>
      <c r="C18" s="674">
        <f>IF(C17=1,0,1)</f>
        <v>0</v>
      </c>
      <c r="D18" s="675"/>
      <c r="K18" s="97"/>
    </row>
    <row r="21" spans="1:21" ht="15.75">
      <c r="A21" s="652" t="s">
        <v>49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</row>
    <row r="22" ht="13.5" thickBot="1"/>
    <row r="23" spans="1:21" ht="69" customHeight="1">
      <c r="A23" s="653" t="s">
        <v>13</v>
      </c>
      <c r="B23" s="655" t="s">
        <v>58</v>
      </c>
      <c r="C23" s="51" t="s">
        <v>55</v>
      </c>
      <c r="D23" s="51" t="s">
        <v>56</v>
      </c>
      <c r="E23" s="51" t="s">
        <v>57</v>
      </c>
      <c r="F23" s="51" t="s">
        <v>52</v>
      </c>
      <c r="G23" s="51" t="s">
        <v>51</v>
      </c>
      <c r="H23" s="53" t="s">
        <v>48</v>
      </c>
      <c r="I23" s="54" t="s">
        <v>0</v>
      </c>
      <c r="J23" s="55" t="s">
        <v>1</v>
      </c>
      <c r="K23" s="55" t="s">
        <v>2</v>
      </c>
      <c r="L23" s="55" t="s">
        <v>3</v>
      </c>
      <c r="M23" s="55" t="s">
        <v>4</v>
      </c>
      <c r="N23" s="55" t="s">
        <v>5</v>
      </c>
      <c r="O23" s="55" t="s">
        <v>6</v>
      </c>
      <c r="P23" s="55" t="s">
        <v>7</v>
      </c>
      <c r="Q23" s="55" t="s">
        <v>8</v>
      </c>
      <c r="R23" s="55" t="s">
        <v>9</v>
      </c>
      <c r="S23" s="55" t="s">
        <v>10</v>
      </c>
      <c r="T23" s="56" t="s">
        <v>11</v>
      </c>
      <c r="U23" s="57" t="s">
        <v>16</v>
      </c>
    </row>
    <row r="24" spans="1:21" ht="23.25" thickBot="1">
      <c r="A24" s="654"/>
      <c r="B24" s="656"/>
      <c r="C24" s="74" t="s">
        <v>39</v>
      </c>
      <c r="D24" s="74" t="s">
        <v>39</v>
      </c>
      <c r="E24" s="99" t="s">
        <v>43</v>
      </c>
      <c r="F24" s="74" t="s">
        <v>14</v>
      </c>
      <c r="G24" s="74" t="s">
        <v>14</v>
      </c>
      <c r="H24" s="59" t="s">
        <v>20</v>
      </c>
      <c r="I24" s="658" t="s">
        <v>22</v>
      </c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9"/>
      <c r="U24" s="60" t="s">
        <v>15</v>
      </c>
    </row>
    <row r="25" spans="1:21" ht="12.75">
      <c r="A25" s="100">
        <v>1</v>
      </c>
      <c r="B25" s="25"/>
      <c r="C25" s="26">
        <v>10</v>
      </c>
      <c r="D25" s="26">
        <v>3</v>
      </c>
      <c r="E25" s="26">
        <v>1</v>
      </c>
      <c r="F25" s="26">
        <v>60</v>
      </c>
      <c r="G25" s="26">
        <v>30</v>
      </c>
      <c r="H25" s="407">
        <v>12</v>
      </c>
      <c r="I25" s="414" t="e">
        <f>IF('Параметры теплоносителя'!#REF!&gt;0,$C25,$D25)*0.004*IF($E25=1,1,1.2)*IF($H$17=1,0,1)*($F25-$G25)*$H25*31*10^(-6)</f>
        <v>#REF!</v>
      </c>
      <c r="J25" s="77" t="e">
        <f>IF('Параметры теплоносителя'!#REF!&gt;0,$C25,$D25)*0.004*IF(E25=1,1,1.2)*IF($H$17=1,0,1)*($F25-$G25)*$H25*28*10^(-6)</f>
        <v>#REF!</v>
      </c>
      <c r="K25" s="77">
        <f>IF('Параметры теплоносителя'!$D$10&gt;0,$C25,$D25)*0.004*IF(E25=1,1,1.2)*IF($H$17=1,0,1)*($F25-$G25)*$H25*31*10^(-6)</f>
        <v>0.00013392000000000002</v>
      </c>
      <c r="L25" s="77">
        <f>IF('Параметры теплоносителя'!$D$11&gt;0,$C25,$D25)*0.004*IF(E25=1,1,1.2)*IF($H$17=1,0,1)*($F25-$G25)*$H25*30*10^(-6)</f>
        <v>0.0001296</v>
      </c>
      <c r="M25" s="77">
        <f>IF('Параметры теплоносителя'!$D$12&gt;0,$C25,$D25)*0.004*IF(E25=1,1,1.2)*IF($H$17=1,0,1)*($F25-$G25)*$H25*31*10^(-6)</f>
        <v>0.00044639999999999995</v>
      </c>
      <c r="N25" s="77">
        <f>IF('Параметры теплоносителя'!$D$13&gt;0,$C25,$D25)*0.004*IF(E25=1,1,1.2)*IF($H$17=1,0,1)*($F25-$G25)*$H25*30*10^(-6)</f>
        <v>0.0001296</v>
      </c>
      <c r="O25" s="77">
        <f>IF('Параметры теплоносителя'!$D$14&gt;0,$C25,$D25)*0.004*IF(E25=1,1,1.2)*IF($H$17=1,0,1)*($F25-$G25)*$H25*31*10^(-6)</f>
        <v>0.00044639999999999995</v>
      </c>
      <c r="P25" s="77">
        <f>IF('Параметры теплоносителя'!$D$15&gt;0,$C25,$D25)*0.004*IF(E25=1,1,1.2)*IF($H$17=1,0,1)*($F25-$G25)*$H25*31*10^(-6)</f>
        <v>0.00044639999999999995</v>
      </c>
      <c r="Q25" s="77">
        <f>IF('Параметры теплоносителя'!$D$16&gt;0,$C25,$D25)*0.004*IF(E25=1,1,1.2)*IF($H$17=1,0,1)*($F25-$G25)*$H25*30*10^(-6)</f>
        <v>0.0001296</v>
      </c>
      <c r="R25" s="77">
        <f>IF('Параметры теплоносителя'!$D$17&gt;0,$C25,$D25)*0.004*IF(E25=1,1,1.2)*IF($H$17=1,0,1)*($F25-$G25)*$H25*31*10^(-6)</f>
        <v>0.00013392000000000002</v>
      </c>
      <c r="S25" s="77">
        <f>IF('Параметры теплоносителя'!$D$18&gt;0,$C25,$D25)*0.004*IF(E25=1,1,1.2)*IF($H$17=1,0,1)*($F25-$G25)*$H25*30*10^(-6)</f>
        <v>0.0001296</v>
      </c>
      <c r="T25" s="78">
        <f>IF('Параметры теплоносителя'!$D$19&gt;0,$C25,$D25)*0.004*IF(E25=1,1,1.2)*IF($H$17=1,0,1)*($F25-$G25)*$H25*31*10^(-6)</f>
        <v>0.00013392000000000002</v>
      </c>
      <c r="U25" s="101" t="e">
        <f>SUM(I25:T25)</f>
        <v>#REF!</v>
      </c>
    </row>
    <row r="26" spans="1:21" ht="12.75">
      <c r="A26" s="61">
        <f>A25+1</f>
        <v>2</v>
      </c>
      <c r="B26" s="20"/>
      <c r="C26" s="21"/>
      <c r="D26" s="21"/>
      <c r="E26" s="21"/>
      <c r="F26" s="21"/>
      <c r="G26" s="21"/>
      <c r="H26" s="408"/>
      <c r="I26" s="415" t="e">
        <f>IF('Параметры теплоносителя'!#REF!&gt;0,$C26,$D26)*0.004*IF(E26=1,1,1.2)*IF($H$17=1,0,1)*($F26-$G26)*$H26*31*10^(-6)</f>
        <v>#REF!</v>
      </c>
      <c r="J26" s="102" t="e">
        <f>IF('Параметры теплоносителя'!#REF!&gt;0,$C26,$D26)*0.004*IF(E26=1,1,1.2)*IF($H$17=1,0,1)*($F26-$G26)*$H26*28*10^(-6)</f>
        <v>#REF!</v>
      </c>
      <c r="K26" s="102">
        <f>IF('Параметры теплоносителя'!$D$10&gt;0,$C26,$D26)*0.004*IF(E26=1,1,1.2)*IF($H$17=1,0,1)*($F26-$G26)*$H26*31*10^(-6)</f>
        <v>0</v>
      </c>
      <c r="L26" s="102">
        <f>IF('Параметры теплоносителя'!$D$11&gt;0,$C26,$D26)*0.004*IF(E26=1,1,1.2)*IF($H$17=1,0,1)*($F26-$G26)*$H26*30*10^(-6)</f>
        <v>0</v>
      </c>
      <c r="M26" s="102">
        <f>IF('Параметры теплоносителя'!$D$12&gt;0,$C26,$D26)*0.004*IF(E26=1,1,1.2)*IF($H$17=1,0,1)*($F26-$G26)*$H26*31*10^(-6)</f>
        <v>0</v>
      </c>
      <c r="N26" s="102">
        <f>IF('Параметры теплоносителя'!$D$13&gt;0,$C26,$D26)*0.004*IF(E26=1,1,1.2)*IF($H$17=1,0,1)*($F26-$G26)*$H26*30*10^(-6)</f>
        <v>0</v>
      </c>
      <c r="O26" s="102">
        <f>IF('Параметры теплоносителя'!$D$14&gt;0,$C26,$D26)*0.004*IF(E26=1,1,1.2)*IF($H$17=1,0,1)*($F26-$G26)*$H26*31*10^(-6)</f>
        <v>0</v>
      </c>
      <c r="P26" s="102">
        <f>IF('Параметры теплоносителя'!$D$15&gt;0,$C26,$D26)*0.004*IF(E26=1,1,1.2)*IF($H$17=1,0,1)*($F26-$G26)*$H26*31*10^(-6)</f>
        <v>0</v>
      </c>
      <c r="Q26" s="102">
        <f>IF('Параметры теплоносителя'!$D$16&gt;0,$C26,$D26)*0.004*IF(E26=1,1,1.2)*IF($H$17=1,0,1)*($F26-$G26)*$H26*30*10^(-6)</f>
        <v>0</v>
      </c>
      <c r="R26" s="102">
        <f>IF('Параметры теплоносителя'!$D$17&gt;0,$C26,$D26)*0.004*IF(E26=1,1,1.2)*IF($H$17=1,0,1)*($F26-$G26)*$H26*31*10^(-6)</f>
        <v>0</v>
      </c>
      <c r="S26" s="102">
        <f>IF('Параметры теплоносителя'!$D$18&gt;0,$C26,$D26)*0.004*IF(E26=1,1,1.2)*IF($H$17=1,0,1)*($F26-$G26)*$H26*30*10^(-6)</f>
        <v>0</v>
      </c>
      <c r="T26" s="103">
        <f>IF('Параметры теплоносителя'!$D$19&gt;0,$C26,$D26)*0.004*IF(E26=1,1,1.2)*IF($H$17=1,0,1)*($F26-$G26)*$H26*31*10^(-6)</f>
        <v>0</v>
      </c>
      <c r="U26" s="104" t="e">
        <f>SUM(I26:T26)</f>
        <v>#REF!</v>
      </c>
    </row>
    <row r="27" spans="1:21" ht="13.5" thickBot="1">
      <c r="A27" s="105">
        <f>A26+1</f>
        <v>3</v>
      </c>
      <c r="B27" s="64"/>
      <c r="C27" s="45"/>
      <c r="D27" s="45"/>
      <c r="E27" s="45"/>
      <c r="F27" s="45"/>
      <c r="G27" s="45"/>
      <c r="H27" s="409"/>
      <c r="I27" s="415" t="e">
        <f>IF('Параметры теплоносителя'!#REF!&gt;0,$C27,$D27)*0.004*IF(E27=1,1,1.2)*IF($H$17=1,0,1)*($F27-$G27)*$H27*31*10^(-6)</f>
        <v>#REF!</v>
      </c>
      <c r="J27" s="102" t="e">
        <f>IF('Параметры теплоносителя'!#REF!&gt;0,$C27,$D27)*0.004*IF(E27=1,1,1.2)*IF($H$17=1,0,1)*($F27-$G27)*$H27*28*10^(-6)</f>
        <v>#REF!</v>
      </c>
      <c r="K27" s="102">
        <f>IF('Параметры теплоносителя'!$D$10&gt;0,$C27,$D27)*0.004*IF(E27=1,1,1.2)*IF($H$17=1,0,1)*($F27-$G27)*$H27*31*10^(-6)</f>
        <v>0</v>
      </c>
      <c r="L27" s="102">
        <f>IF('Параметры теплоносителя'!$D$11&gt;0,$C27,$D27)*0.004*IF(E27=1,1,1.2)*IF($H$17=1,0,1)*($F27-$G27)*$H27*30*10^(-6)</f>
        <v>0</v>
      </c>
      <c r="M27" s="102">
        <f>IF('Параметры теплоносителя'!$D$12&gt;0,$C27,$D27)*0.004*IF(E27=1,1,1.2)*IF($H$17=1,0,1)*($F27-$G27)*$H27*31*10^(-6)</f>
        <v>0</v>
      </c>
      <c r="N27" s="102">
        <f>IF('Параметры теплоносителя'!$D$13&gt;0,$C27,$D27)*0.004*IF(E27=1,1,1.2)*IF($H$17=1,0,1)*($F27-$G27)*$H27*30*10^(-6)</f>
        <v>0</v>
      </c>
      <c r="O27" s="102">
        <f>IF('Параметры теплоносителя'!$D$14&gt;0,$C27,$D27)*0.004*IF(E27=1,1,1.2)*IF($H$17=1,0,1)*($F27-$G27)*$H27*31*10^(-6)</f>
        <v>0</v>
      </c>
      <c r="P27" s="102">
        <f>IF('Параметры теплоносителя'!$D$15&gt;0,$C27,$D27)*0.004*IF(E27=1,1,1.2)*IF($H$17=1,0,1)*($F27-$G27)*$H27*31*10^(-6)</f>
        <v>0</v>
      </c>
      <c r="Q27" s="102">
        <f>IF('Параметры теплоносителя'!$D$16&gt;0,$C27,$D27)*0.004*IF(E27=1,1,1.2)*IF($H$17=1,0,1)*($F27-$G27)*$H27*30*10^(-6)</f>
        <v>0</v>
      </c>
      <c r="R27" s="102">
        <f>IF('Параметры теплоносителя'!$D$17&gt;0,$C27,$D27)*0.004*IF(E27=1,1,1.2)*IF($H$17=1,0,1)*($F27-$G27)*$H27*31*10^(-6)</f>
        <v>0</v>
      </c>
      <c r="S27" s="102">
        <f>IF('Параметры теплоносителя'!$D$18&gt;0,$C27,$D27)*0.004*IF(E27=1,1,1.2)*IF($H$17=1,0,1)*($F27-$G27)*$H27*30*10^(-6)</f>
        <v>0</v>
      </c>
      <c r="T27" s="103">
        <f>IF('Параметры теплоносителя'!$D$19&gt;0,$C27,$D27)*0.004*IF(E27=1,1,1.2)*IF($H$17=1,0,1)*($F27-$G27)*$H27*31*10^(-6)</f>
        <v>0</v>
      </c>
      <c r="U27" s="104" t="e">
        <f>SUM(I27:T27)</f>
        <v>#REF!</v>
      </c>
    </row>
    <row r="28" spans="1:21" ht="4.5" customHeight="1" thickBot="1">
      <c r="A28" s="83"/>
      <c r="B28" s="84"/>
      <c r="C28" s="85"/>
      <c r="D28" s="85"/>
      <c r="E28" s="85"/>
      <c r="F28" s="85"/>
      <c r="G28" s="85"/>
      <c r="H28" s="85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6"/>
      <c r="U28" s="108"/>
    </row>
    <row r="29" spans="1:21" ht="13.5" thickBot="1">
      <c r="A29" s="88" t="s">
        <v>12</v>
      </c>
      <c r="B29" s="67"/>
      <c r="C29" s="669"/>
      <c r="D29" s="669"/>
      <c r="E29" s="669"/>
      <c r="F29" s="669"/>
      <c r="G29" s="669"/>
      <c r="H29" s="670"/>
      <c r="I29" s="109" t="e">
        <f aca="true" t="shared" si="1" ref="I29:U29">SUM(I25:I28)</f>
        <v>#REF!</v>
      </c>
      <c r="J29" s="110" t="e">
        <f t="shared" si="1"/>
        <v>#REF!</v>
      </c>
      <c r="K29" s="110">
        <f t="shared" si="1"/>
        <v>0.00013392000000000002</v>
      </c>
      <c r="L29" s="110">
        <f t="shared" si="1"/>
        <v>0.0001296</v>
      </c>
      <c r="M29" s="110">
        <f t="shared" si="1"/>
        <v>0.00044639999999999995</v>
      </c>
      <c r="N29" s="110">
        <f t="shared" si="1"/>
        <v>0.0001296</v>
      </c>
      <c r="O29" s="110">
        <f t="shared" si="1"/>
        <v>0.00044639999999999995</v>
      </c>
      <c r="P29" s="110">
        <f t="shared" si="1"/>
        <v>0.00044639999999999995</v>
      </c>
      <c r="Q29" s="110">
        <f t="shared" si="1"/>
        <v>0.0001296</v>
      </c>
      <c r="R29" s="110">
        <f t="shared" si="1"/>
        <v>0.00013392000000000002</v>
      </c>
      <c r="S29" s="110">
        <f t="shared" si="1"/>
        <v>0.0001296</v>
      </c>
      <c r="T29" s="111">
        <f t="shared" si="1"/>
        <v>0.00013392000000000002</v>
      </c>
      <c r="U29" s="112" t="e">
        <f t="shared" si="1"/>
        <v>#REF!</v>
      </c>
    </row>
    <row r="30" spans="9:21" ht="13.5" thickBot="1"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</row>
    <row r="31" spans="1:21" ht="16.5" thickBot="1">
      <c r="A31" s="671" t="s">
        <v>50</v>
      </c>
      <c r="B31" s="672"/>
      <c r="C31" s="672"/>
      <c r="D31" s="672"/>
      <c r="E31" s="672"/>
      <c r="F31" s="672"/>
      <c r="G31" s="672"/>
      <c r="H31" s="673"/>
      <c r="I31" s="188" t="e">
        <f>SUM(I14,I29)</f>
        <v>#REF!</v>
      </c>
      <c r="J31" s="189" t="e">
        <f aca="true" t="shared" si="2" ref="J31:T31">SUM(J14,J29)</f>
        <v>#REF!</v>
      </c>
      <c r="K31" s="189">
        <f t="shared" si="2"/>
        <v>0.0011385990000000001</v>
      </c>
      <c r="L31" s="189">
        <f t="shared" si="2"/>
        <v>0.00110187</v>
      </c>
      <c r="M31" s="189">
        <f t="shared" si="2"/>
        <v>0.0037953299999999995</v>
      </c>
      <c r="N31" s="189">
        <f t="shared" si="2"/>
        <v>0.00110187</v>
      </c>
      <c r="O31" s="189">
        <f t="shared" si="2"/>
        <v>0.0037953299999999995</v>
      </c>
      <c r="P31" s="189">
        <f t="shared" si="2"/>
        <v>0.0037953299999999995</v>
      </c>
      <c r="Q31" s="189">
        <f t="shared" si="2"/>
        <v>0.00110187</v>
      </c>
      <c r="R31" s="189">
        <f t="shared" si="2"/>
        <v>0.0011385990000000001</v>
      </c>
      <c r="S31" s="189">
        <f t="shared" si="2"/>
        <v>0.00110187</v>
      </c>
      <c r="T31" s="190">
        <f t="shared" si="2"/>
        <v>0.0011385990000000001</v>
      </c>
      <c r="U31" s="115" t="e">
        <f>SUM(U14,U29)</f>
        <v>#REF!</v>
      </c>
    </row>
    <row r="33" ht="12.75">
      <c r="D33" s="94"/>
    </row>
    <row r="34" ht="12.75">
      <c r="D34" s="96"/>
    </row>
  </sheetData>
  <sheetProtection sheet="1" objects="1" scenarios="1"/>
  <mergeCells count="20">
    <mergeCell ref="C18:D18"/>
    <mergeCell ref="A8:A9"/>
    <mergeCell ref="B8:B9"/>
    <mergeCell ref="I9:T9"/>
    <mergeCell ref="C14:H14"/>
    <mergeCell ref="C29:H29"/>
    <mergeCell ref="A31:H31"/>
    <mergeCell ref="A23:A24"/>
    <mergeCell ref="I24:T24"/>
    <mergeCell ref="B23:B24"/>
    <mergeCell ref="A2:C2"/>
    <mergeCell ref="A4:U4"/>
    <mergeCell ref="A6:U6"/>
    <mergeCell ref="A21:U21"/>
    <mergeCell ref="H16:I16"/>
    <mergeCell ref="H17:I17"/>
    <mergeCell ref="F16:G16"/>
    <mergeCell ref="F17:G17"/>
    <mergeCell ref="C16:D16"/>
    <mergeCell ref="C17:D17"/>
  </mergeCells>
  <hyperlinks>
    <hyperlink ref="A2" location="Оглавление!A1" display="Возврат в оглавление"/>
  </hyperlinks>
  <printOptions/>
  <pageMargins left="0.38" right="0.31" top="1" bottom="1" header="0.5" footer="0.5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2"/>
  <sheetViews>
    <sheetView showGridLines="0" zoomScale="65" zoomScaleNormal="65" workbookViewId="0" topLeftCell="A1">
      <selection activeCell="A2" sqref="A2:D2"/>
    </sheetView>
  </sheetViews>
  <sheetFormatPr defaultColWidth="9.140625" defaultRowHeight="12.75"/>
  <cols>
    <col min="1" max="1" width="5.28125" style="73" customWidth="1"/>
    <col min="2" max="2" width="8.140625" style="73" customWidth="1"/>
    <col min="3" max="3" width="8.421875" style="73" customWidth="1"/>
    <col min="4" max="4" width="7.140625" style="73" customWidth="1"/>
    <col min="5" max="5" width="9.28125" style="73" bestFit="1" customWidth="1"/>
    <col min="6" max="6" width="10.28125" style="73" customWidth="1"/>
    <col min="7" max="7" width="11.28125" style="73" customWidth="1"/>
    <col min="8" max="8" width="10.7109375" style="73" customWidth="1"/>
    <col min="9" max="9" width="11.140625" style="73" customWidth="1"/>
    <col min="10" max="10" width="11.57421875" style="73" bestFit="1" customWidth="1"/>
    <col min="11" max="22" width="8.7109375" style="73" customWidth="1"/>
    <col min="23" max="23" width="11.57421875" style="73" bestFit="1" customWidth="1"/>
    <col min="24" max="16384" width="9.140625" style="73" customWidth="1"/>
  </cols>
  <sheetData>
    <row r="1" ht="8.25" customHeight="1" thickBot="1"/>
    <row r="2" spans="1:4" ht="23.25" customHeight="1" thickBot="1" thickTop="1">
      <c r="A2" s="474" t="s">
        <v>190</v>
      </c>
      <c r="B2" s="457"/>
      <c r="C2" s="457"/>
      <c r="D2" s="458"/>
    </row>
    <row r="3" ht="13.5" thickTop="1"/>
    <row r="4" spans="1:26" ht="18.75">
      <c r="A4" s="620" t="s">
        <v>60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</row>
    <row r="6" spans="1:26" ht="15.75">
      <c r="A6" s="652" t="s">
        <v>61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</row>
    <row r="7" ht="13.5" thickBot="1"/>
    <row r="8" spans="1:23" ht="75.75" customHeight="1">
      <c r="A8" s="653" t="s">
        <v>13</v>
      </c>
      <c r="B8" s="655" t="s">
        <v>62</v>
      </c>
      <c r="C8" s="51" t="s">
        <v>100</v>
      </c>
      <c r="D8" s="51" t="s">
        <v>67</v>
      </c>
      <c r="E8" s="51" t="s">
        <v>69</v>
      </c>
      <c r="F8" s="641" t="s">
        <v>71</v>
      </c>
      <c r="G8" s="660"/>
      <c r="H8" s="51" t="s">
        <v>66</v>
      </c>
      <c r="I8" s="51" t="s">
        <v>73</v>
      </c>
      <c r="J8" s="57" t="s">
        <v>70</v>
      </c>
      <c r="K8" s="55" t="s">
        <v>0</v>
      </c>
      <c r="L8" s="55" t="s">
        <v>1</v>
      </c>
      <c r="M8" s="55" t="s">
        <v>2</v>
      </c>
      <c r="N8" s="55" t="s">
        <v>3</v>
      </c>
      <c r="O8" s="55" t="s">
        <v>4</v>
      </c>
      <c r="P8" s="55" t="s">
        <v>5</v>
      </c>
      <c r="Q8" s="55" t="s">
        <v>6</v>
      </c>
      <c r="R8" s="55" t="s">
        <v>7</v>
      </c>
      <c r="S8" s="55" t="s">
        <v>8</v>
      </c>
      <c r="T8" s="55" t="s">
        <v>9</v>
      </c>
      <c r="U8" s="55" t="s">
        <v>10</v>
      </c>
      <c r="V8" s="56" t="s">
        <v>11</v>
      </c>
      <c r="W8" s="57" t="s">
        <v>16</v>
      </c>
    </row>
    <row r="9" spans="1:23" ht="16.5" thickBot="1">
      <c r="A9" s="654"/>
      <c r="B9" s="656"/>
      <c r="C9" s="74" t="s">
        <v>101</v>
      </c>
      <c r="D9" s="74" t="s">
        <v>68</v>
      </c>
      <c r="E9" s="74" t="s">
        <v>59</v>
      </c>
      <c r="F9" s="643" t="s">
        <v>14</v>
      </c>
      <c r="G9" s="661"/>
      <c r="H9" s="74" t="s">
        <v>14</v>
      </c>
      <c r="I9" s="74" t="s">
        <v>20</v>
      </c>
      <c r="J9" s="60" t="s">
        <v>15</v>
      </c>
      <c r="K9" s="693" t="s">
        <v>75</v>
      </c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9"/>
      <c r="W9" s="60" t="s">
        <v>15</v>
      </c>
    </row>
    <row r="10" spans="1:23" ht="12.75">
      <c r="A10" s="100">
        <v>1</v>
      </c>
      <c r="B10" s="144" t="s">
        <v>63</v>
      </c>
      <c r="C10" s="147">
        <v>990</v>
      </c>
      <c r="D10" s="145">
        <v>60</v>
      </c>
      <c r="E10" s="145">
        <v>3</v>
      </c>
      <c r="F10" s="687">
        <v>-8</v>
      </c>
      <c r="G10" s="688"/>
      <c r="H10" s="147">
        <v>30</v>
      </c>
      <c r="I10" s="148">
        <v>6</v>
      </c>
      <c r="J10" s="142">
        <f>IF(D10=0,0,450*($H10-$F10)*(1+10*(2.959*EXP(-0.0108*$D10))*$I10/$C10)*$D10*10^(-6)*$E10)</f>
        <v>3.3667399069416235</v>
      </c>
      <c r="K10" s="141">
        <f aca="true" t="shared" si="0" ref="K10:V12">$J10/12</f>
        <v>0.28056165891180196</v>
      </c>
      <c r="L10" s="127">
        <f t="shared" si="0"/>
        <v>0.28056165891180196</v>
      </c>
      <c r="M10" s="127">
        <f t="shared" si="0"/>
        <v>0.28056165891180196</v>
      </c>
      <c r="N10" s="127">
        <f t="shared" si="0"/>
        <v>0.28056165891180196</v>
      </c>
      <c r="O10" s="127">
        <f t="shared" si="0"/>
        <v>0.28056165891180196</v>
      </c>
      <c r="P10" s="127">
        <f t="shared" si="0"/>
        <v>0.28056165891180196</v>
      </c>
      <c r="Q10" s="127">
        <f t="shared" si="0"/>
        <v>0.28056165891180196</v>
      </c>
      <c r="R10" s="127">
        <f t="shared" si="0"/>
        <v>0.28056165891180196</v>
      </c>
      <c r="S10" s="127">
        <f t="shared" si="0"/>
        <v>0.28056165891180196</v>
      </c>
      <c r="T10" s="127">
        <f t="shared" si="0"/>
        <v>0.28056165891180196</v>
      </c>
      <c r="U10" s="127">
        <f t="shared" si="0"/>
        <v>0.28056165891180196</v>
      </c>
      <c r="V10" s="128">
        <f t="shared" si="0"/>
        <v>0.28056165891180196</v>
      </c>
      <c r="W10" s="129">
        <f>SUM(K10:V10)</f>
        <v>3.3667399069416244</v>
      </c>
    </row>
    <row r="11" spans="1:23" ht="12.75">
      <c r="A11" s="61">
        <f>A10+1</f>
        <v>2</v>
      </c>
      <c r="B11" s="149" t="s">
        <v>64</v>
      </c>
      <c r="C11" s="152">
        <v>990</v>
      </c>
      <c r="D11" s="150">
        <v>50</v>
      </c>
      <c r="E11" s="150">
        <v>2</v>
      </c>
      <c r="F11" s="689">
        <v>-2</v>
      </c>
      <c r="G11" s="690"/>
      <c r="H11" s="152">
        <v>30</v>
      </c>
      <c r="I11" s="153">
        <v>8</v>
      </c>
      <c r="J11" s="142">
        <f>IF(D11=0,0,450*($H11-$F11)*(1+10*(2.959*EXP(-0.0108*$D11))*$I11/$C11)*$D11*10^(-6)*$E11)</f>
        <v>1.6406518782574122</v>
      </c>
      <c r="K11" s="141">
        <f t="shared" si="0"/>
        <v>0.13672098985478434</v>
      </c>
      <c r="L11" s="127">
        <f t="shared" si="0"/>
        <v>0.13672098985478434</v>
      </c>
      <c r="M11" s="127">
        <f t="shared" si="0"/>
        <v>0.13672098985478434</v>
      </c>
      <c r="N11" s="127">
        <f t="shared" si="0"/>
        <v>0.13672098985478434</v>
      </c>
      <c r="O11" s="127">
        <f t="shared" si="0"/>
        <v>0.13672098985478434</v>
      </c>
      <c r="P11" s="127">
        <f t="shared" si="0"/>
        <v>0.13672098985478434</v>
      </c>
      <c r="Q11" s="127">
        <f t="shared" si="0"/>
        <v>0.13672098985478434</v>
      </c>
      <c r="R11" s="127">
        <f t="shared" si="0"/>
        <v>0.13672098985478434</v>
      </c>
      <c r="S11" s="127">
        <f t="shared" si="0"/>
        <v>0.13672098985478434</v>
      </c>
      <c r="T11" s="127">
        <f t="shared" si="0"/>
        <v>0.13672098985478434</v>
      </c>
      <c r="U11" s="127">
        <f t="shared" si="0"/>
        <v>0.13672098985478434</v>
      </c>
      <c r="V11" s="128">
        <f t="shared" si="0"/>
        <v>0.13672098985478434</v>
      </c>
      <c r="W11" s="129">
        <f>SUM(K11:V11)</f>
        <v>1.640651878257412</v>
      </c>
    </row>
    <row r="12" spans="1:23" ht="12.75">
      <c r="A12" s="61">
        <f>A11+1</f>
        <v>3</v>
      </c>
      <c r="B12" s="149" t="s">
        <v>65</v>
      </c>
      <c r="C12" s="152">
        <v>990</v>
      </c>
      <c r="D12" s="150">
        <v>60</v>
      </c>
      <c r="E12" s="150">
        <v>10</v>
      </c>
      <c r="F12" s="689">
        <v>15</v>
      </c>
      <c r="G12" s="690"/>
      <c r="H12" s="152">
        <v>60</v>
      </c>
      <c r="I12" s="153">
        <v>4</v>
      </c>
      <c r="J12" s="142">
        <f>IF(D12=0,0,450*($H12-$F12)*(1+10*(2.959*EXP(-0.0108*$D12))*$I12/$C12)*$D12*10^(-6)*$E12)</f>
        <v>12.909841860372692</v>
      </c>
      <c r="K12" s="141">
        <f t="shared" si="0"/>
        <v>1.0758201550310578</v>
      </c>
      <c r="L12" s="127">
        <f t="shared" si="0"/>
        <v>1.0758201550310578</v>
      </c>
      <c r="M12" s="127">
        <f t="shared" si="0"/>
        <v>1.0758201550310578</v>
      </c>
      <c r="N12" s="127">
        <f t="shared" si="0"/>
        <v>1.0758201550310578</v>
      </c>
      <c r="O12" s="127">
        <f t="shared" si="0"/>
        <v>1.0758201550310578</v>
      </c>
      <c r="P12" s="127">
        <f t="shared" si="0"/>
        <v>1.0758201550310578</v>
      </c>
      <c r="Q12" s="127">
        <f t="shared" si="0"/>
        <v>1.0758201550310578</v>
      </c>
      <c r="R12" s="127">
        <f t="shared" si="0"/>
        <v>1.0758201550310578</v>
      </c>
      <c r="S12" s="127">
        <f t="shared" si="0"/>
        <v>1.0758201550310578</v>
      </c>
      <c r="T12" s="127">
        <f t="shared" si="0"/>
        <v>1.0758201550310578</v>
      </c>
      <c r="U12" s="127">
        <f t="shared" si="0"/>
        <v>1.0758201550310578</v>
      </c>
      <c r="V12" s="128">
        <f t="shared" si="0"/>
        <v>1.0758201550310578</v>
      </c>
      <c r="W12" s="129">
        <f>SUM(K12:V12)</f>
        <v>12.909841860372696</v>
      </c>
    </row>
    <row r="13" spans="1:23" ht="12.75">
      <c r="A13" s="61">
        <f>A12+1</f>
        <v>4</v>
      </c>
      <c r="B13" s="149" t="s">
        <v>65</v>
      </c>
      <c r="C13" s="152">
        <v>990</v>
      </c>
      <c r="D13" s="150">
        <v>60</v>
      </c>
      <c r="E13" s="150">
        <v>1</v>
      </c>
      <c r="F13" s="689">
        <v>-1.7</v>
      </c>
      <c r="G13" s="690"/>
      <c r="H13" s="152">
        <v>50</v>
      </c>
      <c r="I13" s="153">
        <v>10</v>
      </c>
      <c r="J13" s="142">
        <f>IF(D13=0,0,450*($H13-$F13)*(1+10*(2.959*EXP(-0.0108*$D13))*$I13/$C13)*$D13*10^(-6)*$E13)</f>
        <v>1.614143467673712</v>
      </c>
      <c r="K13" s="141">
        <f>$J13/12</f>
        <v>0.13451195563947602</v>
      </c>
      <c r="L13" s="127">
        <f aca="true" t="shared" si="1" ref="L13:V14">$J13/12</f>
        <v>0.13451195563947602</v>
      </c>
      <c r="M13" s="127">
        <f t="shared" si="1"/>
        <v>0.13451195563947602</v>
      </c>
      <c r="N13" s="127">
        <f t="shared" si="1"/>
        <v>0.13451195563947602</v>
      </c>
      <c r="O13" s="127">
        <f t="shared" si="1"/>
        <v>0.13451195563947602</v>
      </c>
      <c r="P13" s="127">
        <f t="shared" si="1"/>
        <v>0.13451195563947602</v>
      </c>
      <c r="Q13" s="127">
        <f t="shared" si="1"/>
        <v>0.13451195563947602</v>
      </c>
      <c r="R13" s="127">
        <f t="shared" si="1"/>
        <v>0.13451195563947602</v>
      </c>
      <c r="S13" s="127">
        <f t="shared" si="1"/>
        <v>0.13451195563947602</v>
      </c>
      <c r="T13" s="127">
        <f t="shared" si="1"/>
        <v>0.13451195563947602</v>
      </c>
      <c r="U13" s="127">
        <f t="shared" si="1"/>
        <v>0.13451195563947602</v>
      </c>
      <c r="V13" s="128">
        <f t="shared" si="1"/>
        <v>0.13451195563947602</v>
      </c>
      <c r="W13" s="129">
        <f>SUM(K13:V13)</f>
        <v>1.6141434676737123</v>
      </c>
    </row>
    <row r="14" spans="1:23" ht="13.5" thickBot="1">
      <c r="A14" s="140">
        <v>5</v>
      </c>
      <c r="B14" s="154"/>
      <c r="C14" s="157"/>
      <c r="D14" s="155"/>
      <c r="E14" s="155"/>
      <c r="F14" s="700"/>
      <c r="G14" s="701"/>
      <c r="H14" s="157"/>
      <c r="I14" s="158"/>
      <c r="J14" s="159">
        <f>IF(D14=0,0,450*($H14-$F14)*(1+10*(2.959*EXP(-0.0108*$D14))*$I14/$C14)*$D14*10^(-6)*$E14)</f>
        <v>0</v>
      </c>
      <c r="K14" s="141">
        <f>$J14/12</f>
        <v>0</v>
      </c>
      <c r="L14" s="127">
        <f t="shared" si="1"/>
        <v>0</v>
      </c>
      <c r="M14" s="127">
        <f t="shared" si="1"/>
        <v>0</v>
      </c>
      <c r="N14" s="127">
        <f t="shared" si="1"/>
        <v>0</v>
      </c>
      <c r="O14" s="127">
        <f t="shared" si="1"/>
        <v>0</v>
      </c>
      <c r="P14" s="127">
        <f t="shared" si="1"/>
        <v>0</v>
      </c>
      <c r="Q14" s="127">
        <f t="shared" si="1"/>
        <v>0</v>
      </c>
      <c r="R14" s="127">
        <f t="shared" si="1"/>
        <v>0</v>
      </c>
      <c r="S14" s="127">
        <f t="shared" si="1"/>
        <v>0</v>
      </c>
      <c r="T14" s="127">
        <f t="shared" si="1"/>
        <v>0</v>
      </c>
      <c r="U14" s="127">
        <f t="shared" si="1"/>
        <v>0</v>
      </c>
      <c r="V14" s="128">
        <f t="shared" si="1"/>
        <v>0</v>
      </c>
      <c r="W14" s="129">
        <f>SUM(K14:V14)</f>
        <v>0</v>
      </c>
    </row>
    <row r="15" spans="1:23" ht="4.5" customHeight="1" thickBot="1">
      <c r="A15" s="160"/>
      <c r="B15" s="161"/>
      <c r="C15" s="161"/>
      <c r="D15" s="161"/>
      <c r="E15" s="161"/>
      <c r="F15" s="161"/>
      <c r="G15" s="161"/>
      <c r="H15" s="161"/>
      <c r="I15" s="161"/>
      <c r="J15" s="162"/>
      <c r="K15" s="130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1"/>
    </row>
    <row r="16" spans="1:23" ht="13.5" thickBot="1">
      <c r="A16" s="88" t="s">
        <v>12</v>
      </c>
      <c r="B16" s="67"/>
      <c r="C16" s="67"/>
      <c r="D16" s="67"/>
      <c r="E16" s="67"/>
      <c r="F16" s="67"/>
      <c r="G16" s="67"/>
      <c r="H16" s="67"/>
      <c r="I16" s="67"/>
      <c r="J16" s="143">
        <f aca="true" t="shared" si="2" ref="J16:W16">SUM(J10:J15)</f>
        <v>19.53137711324544</v>
      </c>
      <c r="K16" s="132">
        <f t="shared" si="2"/>
        <v>1.62761475943712</v>
      </c>
      <c r="L16" s="133">
        <f t="shared" si="2"/>
        <v>1.62761475943712</v>
      </c>
      <c r="M16" s="133">
        <f t="shared" si="2"/>
        <v>1.62761475943712</v>
      </c>
      <c r="N16" s="133">
        <f t="shared" si="2"/>
        <v>1.62761475943712</v>
      </c>
      <c r="O16" s="133">
        <f t="shared" si="2"/>
        <v>1.62761475943712</v>
      </c>
      <c r="P16" s="133">
        <f t="shared" si="2"/>
        <v>1.62761475943712</v>
      </c>
      <c r="Q16" s="133">
        <f t="shared" si="2"/>
        <v>1.62761475943712</v>
      </c>
      <c r="R16" s="133">
        <f t="shared" si="2"/>
        <v>1.62761475943712</v>
      </c>
      <c r="S16" s="133">
        <f t="shared" si="2"/>
        <v>1.62761475943712</v>
      </c>
      <c r="T16" s="133">
        <f t="shared" si="2"/>
        <v>1.62761475943712</v>
      </c>
      <c r="U16" s="133">
        <f t="shared" si="2"/>
        <v>1.62761475943712</v>
      </c>
      <c r="V16" s="134">
        <f t="shared" si="2"/>
        <v>1.62761475943712</v>
      </c>
      <c r="W16" s="135">
        <f t="shared" si="2"/>
        <v>19.531377113245448</v>
      </c>
    </row>
    <row r="18" ht="12.75">
      <c r="B18" s="73" t="s">
        <v>72</v>
      </c>
    </row>
    <row r="21" spans="1:26" ht="15.75">
      <c r="A21" s="652" t="s">
        <v>74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</row>
    <row r="22" ht="13.5" thickBot="1"/>
    <row r="23" spans="1:23" ht="77.25" customHeight="1">
      <c r="A23" s="653" t="s">
        <v>13</v>
      </c>
      <c r="B23" s="51" t="s">
        <v>100</v>
      </c>
      <c r="C23" s="51" t="s">
        <v>77</v>
      </c>
      <c r="D23" s="51" t="s">
        <v>78</v>
      </c>
      <c r="E23" s="51" t="s">
        <v>79</v>
      </c>
      <c r="F23" s="51" t="s">
        <v>80</v>
      </c>
      <c r="G23" s="51" t="s">
        <v>85</v>
      </c>
      <c r="H23" s="51" t="s">
        <v>82</v>
      </c>
      <c r="I23" s="51" t="s">
        <v>83</v>
      </c>
      <c r="J23" s="57" t="s">
        <v>70</v>
      </c>
      <c r="K23" s="55" t="s">
        <v>0</v>
      </c>
      <c r="L23" s="55" t="s">
        <v>1</v>
      </c>
      <c r="M23" s="55" t="s">
        <v>2</v>
      </c>
      <c r="N23" s="55" t="s">
        <v>3</v>
      </c>
      <c r="O23" s="55" t="s">
        <v>4</v>
      </c>
      <c r="P23" s="55" t="s">
        <v>5</v>
      </c>
      <c r="Q23" s="55" t="s">
        <v>6</v>
      </c>
      <c r="R23" s="55" t="s">
        <v>7</v>
      </c>
      <c r="S23" s="55" t="s">
        <v>8</v>
      </c>
      <c r="T23" s="55" t="s">
        <v>9</v>
      </c>
      <c r="U23" s="55" t="s">
        <v>10</v>
      </c>
      <c r="V23" s="56" t="s">
        <v>11</v>
      </c>
      <c r="W23" s="57" t="s">
        <v>16</v>
      </c>
    </row>
    <row r="24" spans="1:23" ht="18" customHeight="1" thickBot="1">
      <c r="A24" s="654"/>
      <c r="B24" s="74" t="s">
        <v>101</v>
      </c>
      <c r="C24" s="74" t="s">
        <v>68</v>
      </c>
      <c r="D24" s="74" t="s">
        <v>118</v>
      </c>
      <c r="E24" s="74" t="s">
        <v>119</v>
      </c>
      <c r="F24" s="74" t="s">
        <v>81</v>
      </c>
      <c r="G24" s="74" t="s">
        <v>14</v>
      </c>
      <c r="H24" s="74" t="s">
        <v>14</v>
      </c>
      <c r="I24" s="74" t="s">
        <v>120</v>
      </c>
      <c r="J24" s="60" t="s">
        <v>15</v>
      </c>
      <c r="K24" s="693" t="s">
        <v>75</v>
      </c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9"/>
      <c r="W24" s="60" t="s">
        <v>15</v>
      </c>
    </row>
    <row r="25" spans="1:23" ht="12.75">
      <c r="A25" s="100">
        <v>1</v>
      </c>
      <c r="B25" s="167">
        <v>990</v>
      </c>
      <c r="C25" s="145">
        <v>2000</v>
      </c>
      <c r="D25" s="145">
        <v>927</v>
      </c>
      <c r="E25" s="147">
        <v>2150</v>
      </c>
      <c r="F25" s="147">
        <v>96</v>
      </c>
      <c r="G25" s="146">
        <v>-13.8</v>
      </c>
      <c r="H25" s="147">
        <v>50</v>
      </c>
      <c r="I25" s="166">
        <v>3.49</v>
      </c>
      <c r="J25" s="142">
        <f>IF($C25=0,0,$C25/$F25*24*602*$D25*$I25*($H25-$G25)/$B25/$E25*$C25/2*10^(-6))</f>
        <v>29.188964</v>
      </c>
      <c r="K25" s="141">
        <f aca="true" t="shared" si="3" ref="K25:V29">$J25/12</f>
        <v>2.4324136666666667</v>
      </c>
      <c r="L25" s="127">
        <f t="shared" si="3"/>
        <v>2.4324136666666667</v>
      </c>
      <c r="M25" s="127">
        <f t="shared" si="3"/>
        <v>2.4324136666666667</v>
      </c>
      <c r="N25" s="127">
        <f t="shared" si="3"/>
        <v>2.4324136666666667</v>
      </c>
      <c r="O25" s="127">
        <f t="shared" si="3"/>
        <v>2.4324136666666667</v>
      </c>
      <c r="P25" s="127">
        <f t="shared" si="3"/>
        <v>2.4324136666666667</v>
      </c>
      <c r="Q25" s="127">
        <f t="shared" si="3"/>
        <v>2.4324136666666667</v>
      </c>
      <c r="R25" s="127">
        <f t="shared" si="3"/>
        <v>2.4324136666666667</v>
      </c>
      <c r="S25" s="127">
        <f t="shared" si="3"/>
        <v>2.4324136666666667</v>
      </c>
      <c r="T25" s="127">
        <f t="shared" si="3"/>
        <v>2.4324136666666667</v>
      </c>
      <c r="U25" s="127">
        <f t="shared" si="3"/>
        <v>2.4324136666666667</v>
      </c>
      <c r="V25" s="128">
        <f t="shared" si="3"/>
        <v>2.4324136666666667</v>
      </c>
      <c r="W25" s="129">
        <f>SUM(K25:V25)</f>
        <v>29.188963999999995</v>
      </c>
    </row>
    <row r="26" spans="1:23" ht="12.75">
      <c r="A26" s="61">
        <f>A25+1</f>
        <v>2</v>
      </c>
      <c r="B26" s="149"/>
      <c r="C26" s="150"/>
      <c r="D26" s="150"/>
      <c r="E26" s="151"/>
      <c r="F26" s="151"/>
      <c r="G26" s="151"/>
      <c r="H26" s="152"/>
      <c r="I26" s="153"/>
      <c r="J26" s="142">
        <f>IF($C26=0,0,$C26/$F26*24*602*$D26*$I26*($H26-$G26)/$B26/$E26*$C26/2*10^(-6))</f>
        <v>0</v>
      </c>
      <c r="K26" s="141">
        <f t="shared" si="3"/>
        <v>0</v>
      </c>
      <c r="L26" s="127">
        <f t="shared" si="3"/>
        <v>0</v>
      </c>
      <c r="M26" s="127">
        <f t="shared" si="3"/>
        <v>0</v>
      </c>
      <c r="N26" s="127">
        <f t="shared" si="3"/>
        <v>0</v>
      </c>
      <c r="O26" s="127">
        <f t="shared" si="3"/>
        <v>0</v>
      </c>
      <c r="P26" s="127">
        <f t="shared" si="3"/>
        <v>0</v>
      </c>
      <c r="Q26" s="127">
        <f t="shared" si="3"/>
        <v>0</v>
      </c>
      <c r="R26" s="127">
        <f t="shared" si="3"/>
        <v>0</v>
      </c>
      <c r="S26" s="127">
        <f t="shared" si="3"/>
        <v>0</v>
      </c>
      <c r="T26" s="127">
        <f t="shared" si="3"/>
        <v>0</v>
      </c>
      <c r="U26" s="127">
        <f t="shared" si="3"/>
        <v>0</v>
      </c>
      <c r="V26" s="128">
        <f t="shared" si="3"/>
        <v>0</v>
      </c>
      <c r="W26" s="129">
        <f>SUM(K26:V26)</f>
        <v>0</v>
      </c>
    </row>
    <row r="27" spans="1:23" ht="12.75">
      <c r="A27" s="61">
        <f>A26+1</f>
        <v>3</v>
      </c>
      <c r="B27" s="149"/>
      <c r="C27" s="150"/>
      <c r="D27" s="150"/>
      <c r="E27" s="151"/>
      <c r="F27" s="151"/>
      <c r="G27" s="151"/>
      <c r="H27" s="152"/>
      <c r="I27" s="153"/>
      <c r="J27" s="142">
        <f>IF($C27=0,0,$C27/$F27*24*602*$D27*$I27*($H27-$G27)/$B27/$E27*$C27/2*10^(-6))</f>
        <v>0</v>
      </c>
      <c r="K27" s="141">
        <f t="shared" si="3"/>
        <v>0</v>
      </c>
      <c r="L27" s="127">
        <f t="shared" si="3"/>
        <v>0</v>
      </c>
      <c r="M27" s="127">
        <f t="shared" si="3"/>
        <v>0</v>
      </c>
      <c r="N27" s="127">
        <f t="shared" si="3"/>
        <v>0</v>
      </c>
      <c r="O27" s="127">
        <f t="shared" si="3"/>
        <v>0</v>
      </c>
      <c r="P27" s="127">
        <f t="shared" si="3"/>
        <v>0</v>
      </c>
      <c r="Q27" s="127">
        <f t="shared" si="3"/>
        <v>0</v>
      </c>
      <c r="R27" s="127">
        <f t="shared" si="3"/>
        <v>0</v>
      </c>
      <c r="S27" s="127">
        <f t="shared" si="3"/>
        <v>0</v>
      </c>
      <c r="T27" s="127">
        <f t="shared" si="3"/>
        <v>0</v>
      </c>
      <c r="U27" s="127">
        <f t="shared" si="3"/>
        <v>0</v>
      </c>
      <c r="V27" s="128">
        <f t="shared" si="3"/>
        <v>0</v>
      </c>
      <c r="W27" s="129">
        <f>SUM(K27:V27)</f>
        <v>0</v>
      </c>
    </row>
    <row r="28" spans="1:23" ht="12.75">
      <c r="A28" s="61">
        <f>A27+1</f>
        <v>4</v>
      </c>
      <c r="B28" s="149"/>
      <c r="C28" s="150"/>
      <c r="D28" s="150"/>
      <c r="E28" s="151"/>
      <c r="F28" s="151"/>
      <c r="G28" s="151"/>
      <c r="H28" s="152"/>
      <c r="I28" s="153"/>
      <c r="J28" s="142">
        <f>IF($C28=0,0,$C28/$F28*24*602*$D28*$I28*($H28-$G28)/$B28/$E28*$C28/2*10^(-6))</f>
        <v>0</v>
      </c>
      <c r="K28" s="141">
        <f>$J28/12</f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7">
        <f t="shared" si="3"/>
        <v>0</v>
      </c>
      <c r="P28" s="127">
        <f t="shared" si="3"/>
        <v>0</v>
      </c>
      <c r="Q28" s="127">
        <f t="shared" si="3"/>
        <v>0</v>
      </c>
      <c r="R28" s="127">
        <f t="shared" si="3"/>
        <v>0</v>
      </c>
      <c r="S28" s="127">
        <f t="shared" si="3"/>
        <v>0</v>
      </c>
      <c r="T28" s="127">
        <f t="shared" si="3"/>
        <v>0</v>
      </c>
      <c r="U28" s="127">
        <f t="shared" si="3"/>
        <v>0</v>
      </c>
      <c r="V28" s="128">
        <f t="shared" si="3"/>
        <v>0</v>
      </c>
      <c r="W28" s="129">
        <f>SUM(K28:V28)</f>
        <v>0</v>
      </c>
    </row>
    <row r="29" spans="1:23" ht="13.5" thickBot="1">
      <c r="A29" s="140">
        <v>5</v>
      </c>
      <c r="B29" s="154"/>
      <c r="C29" s="155"/>
      <c r="D29" s="155"/>
      <c r="E29" s="156"/>
      <c r="F29" s="156"/>
      <c r="G29" s="156"/>
      <c r="H29" s="157"/>
      <c r="I29" s="158"/>
      <c r="J29" s="159">
        <f>IF($C29=0,0,$C29/$F29*24*602*$D29*$I29*($H29-$G29)/$B29/$E29*$C29/2*10^(-6))</f>
        <v>0</v>
      </c>
      <c r="K29" s="141">
        <f>$J29/12</f>
        <v>0</v>
      </c>
      <c r="L29" s="127">
        <f t="shared" si="3"/>
        <v>0</v>
      </c>
      <c r="M29" s="127">
        <f t="shared" si="3"/>
        <v>0</v>
      </c>
      <c r="N29" s="127">
        <f t="shared" si="3"/>
        <v>0</v>
      </c>
      <c r="O29" s="127">
        <f t="shared" si="3"/>
        <v>0</v>
      </c>
      <c r="P29" s="127">
        <f t="shared" si="3"/>
        <v>0</v>
      </c>
      <c r="Q29" s="127">
        <f t="shared" si="3"/>
        <v>0</v>
      </c>
      <c r="R29" s="127">
        <f t="shared" si="3"/>
        <v>0</v>
      </c>
      <c r="S29" s="127">
        <f t="shared" si="3"/>
        <v>0</v>
      </c>
      <c r="T29" s="127">
        <f t="shared" si="3"/>
        <v>0</v>
      </c>
      <c r="U29" s="127">
        <f t="shared" si="3"/>
        <v>0</v>
      </c>
      <c r="V29" s="128">
        <f t="shared" si="3"/>
        <v>0</v>
      </c>
      <c r="W29" s="129">
        <f>SUM(K29:V29)</f>
        <v>0</v>
      </c>
    </row>
    <row r="30" spans="1:23" ht="4.5" customHeight="1" thickBot="1">
      <c r="A30" s="160"/>
      <c r="B30" s="161"/>
      <c r="C30" s="161"/>
      <c r="D30" s="161"/>
      <c r="E30" s="161"/>
      <c r="F30" s="161"/>
      <c r="G30" s="161"/>
      <c r="H30" s="161"/>
      <c r="I30" s="161"/>
      <c r="J30" s="162"/>
      <c r="K30" s="130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1"/>
    </row>
    <row r="31" spans="1:23" ht="13.5" thickBot="1">
      <c r="A31" s="88" t="s">
        <v>12</v>
      </c>
      <c r="B31" s="67"/>
      <c r="C31" s="67"/>
      <c r="D31" s="67"/>
      <c r="E31" s="67"/>
      <c r="F31" s="67"/>
      <c r="G31" s="67"/>
      <c r="H31" s="67"/>
      <c r="I31" s="67"/>
      <c r="J31" s="143">
        <f aca="true" t="shared" si="4" ref="J31:W31">SUM(J25:J30)</f>
        <v>29.188964</v>
      </c>
      <c r="K31" s="132">
        <f t="shared" si="4"/>
        <v>2.4324136666666667</v>
      </c>
      <c r="L31" s="133">
        <f t="shared" si="4"/>
        <v>2.4324136666666667</v>
      </c>
      <c r="M31" s="133">
        <f t="shared" si="4"/>
        <v>2.4324136666666667</v>
      </c>
      <c r="N31" s="133">
        <f t="shared" si="4"/>
        <v>2.4324136666666667</v>
      </c>
      <c r="O31" s="133">
        <f t="shared" si="4"/>
        <v>2.4324136666666667</v>
      </c>
      <c r="P31" s="133">
        <f t="shared" si="4"/>
        <v>2.4324136666666667</v>
      </c>
      <c r="Q31" s="133">
        <f t="shared" si="4"/>
        <v>2.4324136666666667</v>
      </c>
      <c r="R31" s="133">
        <f t="shared" si="4"/>
        <v>2.4324136666666667</v>
      </c>
      <c r="S31" s="133">
        <f t="shared" si="4"/>
        <v>2.4324136666666667</v>
      </c>
      <c r="T31" s="133">
        <f t="shared" si="4"/>
        <v>2.4324136666666667</v>
      </c>
      <c r="U31" s="133">
        <f t="shared" si="4"/>
        <v>2.4324136666666667</v>
      </c>
      <c r="V31" s="134">
        <f t="shared" si="4"/>
        <v>2.4324136666666667</v>
      </c>
      <c r="W31" s="135">
        <f t="shared" si="4"/>
        <v>29.188963999999995</v>
      </c>
    </row>
    <row r="33" spans="2:7" ht="12.75">
      <c r="B33" s="73" t="s">
        <v>84</v>
      </c>
      <c r="G33" s="168"/>
    </row>
    <row r="34" ht="12.75">
      <c r="B34" s="73" t="s">
        <v>86</v>
      </c>
    </row>
    <row r="37" spans="1:26" ht="15.75">
      <c r="A37" s="652" t="s">
        <v>87</v>
      </c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</row>
    <row r="38" ht="13.5" thickBot="1"/>
    <row r="39" spans="1:23" ht="64.5">
      <c r="A39" s="653" t="s">
        <v>13</v>
      </c>
      <c r="B39" s="641" t="s">
        <v>90</v>
      </c>
      <c r="C39" s="660"/>
      <c r="D39" s="641" t="s">
        <v>91</v>
      </c>
      <c r="E39" s="691"/>
      <c r="F39" s="660"/>
      <c r="G39" s="641" t="s">
        <v>92</v>
      </c>
      <c r="H39" s="691"/>
      <c r="I39" s="642"/>
      <c r="J39" s="57" t="s">
        <v>70</v>
      </c>
      <c r="K39" s="55" t="s">
        <v>0</v>
      </c>
      <c r="L39" s="55" t="s">
        <v>1</v>
      </c>
      <c r="M39" s="55" t="s">
        <v>2</v>
      </c>
      <c r="N39" s="55" t="s">
        <v>3</v>
      </c>
      <c r="O39" s="55" t="s">
        <v>4</v>
      </c>
      <c r="P39" s="55" t="s">
        <v>5</v>
      </c>
      <c r="Q39" s="55" t="s">
        <v>6</v>
      </c>
      <c r="R39" s="55" t="s">
        <v>7</v>
      </c>
      <c r="S39" s="55" t="s">
        <v>8</v>
      </c>
      <c r="T39" s="55" t="s">
        <v>9</v>
      </c>
      <c r="U39" s="55" t="s">
        <v>10</v>
      </c>
      <c r="V39" s="56" t="s">
        <v>11</v>
      </c>
      <c r="W39" s="57" t="s">
        <v>16</v>
      </c>
    </row>
    <row r="40" spans="1:23" ht="18" customHeight="1" thickBot="1">
      <c r="A40" s="654"/>
      <c r="B40" s="643" t="s">
        <v>88</v>
      </c>
      <c r="C40" s="661"/>
      <c r="D40" s="643" t="s">
        <v>89</v>
      </c>
      <c r="E40" s="692"/>
      <c r="F40" s="661"/>
      <c r="G40" s="643" t="s">
        <v>20</v>
      </c>
      <c r="H40" s="692"/>
      <c r="I40" s="644"/>
      <c r="J40" s="60" t="s">
        <v>15</v>
      </c>
      <c r="K40" s="693" t="s">
        <v>75</v>
      </c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9"/>
      <c r="W40" s="60" t="s">
        <v>15</v>
      </c>
    </row>
    <row r="41" spans="1:23" ht="12.75">
      <c r="A41" s="100">
        <v>1</v>
      </c>
      <c r="B41" s="694">
        <v>108</v>
      </c>
      <c r="C41" s="695"/>
      <c r="D41" s="694">
        <v>100</v>
      </c>
      <c r="E41" s="696"/>
      <c r="F41" s="695"/>
      <c r="G41" s="694">
        <v>40</v>
      </c>
      <c r="H41" s="696"/>
      <c r="I41" s="697"/>
      <c r="J41" s="142">
        <f>1.2*D41*G41*(0.1213*B41+12.621)*10^(-6)</f>
        <v>0.12346272000000001</v>
      </c>
      <c r="K41" s="141">
        <f aca="true" t="shared" si="5" ref="K41:V45">$J41/12</f>
        <v>0.01028856</v>
      </c>
      <c r="L41" s="127">
        <f t="shared" si="5"/>
        <v>0.01028856</v>
      </c>
      <c r="M41" s="127">
        <f t="shared" si="5"/>
        <v>0.01028856</v>
      </c>
      <c r="N41" s="127">
        <f t="shared" si="5"/>
        <v>0.01028856</v>
      </c>
      <c r="O41" s="127">
        <f t="shared" si="5"/>
        <v>0.01028856</v>
      </c>
      <c r="P41" s="127">
        <f t="shared" si="5"/>
        <v>0.01028856</v>
      </c>
      <c r="Q41" s="127">
        <f t="shared" si="5"/>
        <v>0.01028856</v>
      </c>
      <c r="R41" s="127">
        <f t="shared" si="5"/>
        <v>0.01028856</v>
      </c>
      <c r="S41" s="127">
        <f t="shared" si="5"/>
        <v>0.01028856</v>
      </c>
      <c r="T41" s="127">
        <f t="shared" si="5"/>
        <v>0.01028856</v>
      </c>
      <c r="U41" s="127">
        <f t="shared" si="5"/>
        <v>0.01028856</v>
      </c>
      <c r="V41" s="128">
        <f t="shared" si="5"/>
        <v>0.01028856</v>
      </c>
      <c r="W41" s="129">
        <f>SUM(K41:V41)</f>
        <v>0.12346272000000001</v>
      </c>
    </row>
    <row r="42" spans="1:23" ht="12.75">
      <c r="A42" s="61">
        <f>A41+1</f>
        <v>2</v>
      </c>
      <c r="B42" s="679"/>
      <c r="C42" s="680"/>
      <c r="D42" s="679"/>
      <c r="E42" s="685"/>
      <c r="F42" s="680"/>
      <c r="G42" s="679"/>
      <c r="H42" s="685"/>
      <c r="I42" s="702"/>
      <c r="J42" s="142">
        <f>1.2*D42*G42*(0.1213*B42+12.621)*10^(-6)</f>
        <v>0</v>
      </c>
      <c r="K42" s="141">
        <f t="shared" si="5"/>
        <v>0</v>
      </c>
      <c r="L42" s="127">
        <f t="shared" si="5"/>
        <v>0</v>
      </c>
      <c r="M42" s="127">
        <f t="shared" si="5"/>
        <v>0</v>
      </c>
      <c r="N42" s="127">
        <f t="shared" si="5"/>
        <v>0</v>
      </c>
      <c r="O42" s="127">
        <f t="shared" si="5"/>
        <v>0</v>
      </c>
      <c r="P42" s="127">
        <f t="shared" si="5"/>
        <v>0</v>
      </c>
      <c r="Q42" s="127">
        <f t="shared" si="5"/>
        <v>0</v>
      </c>
      <c r="R42" s="127">
        <f t="shared" si="5"/>
        <v>0</v>
      </c>
      <c r="S42" s="127">
        <f t="shared" si="5"/>
        <v>0</v>
      </c>
      <c r="T42" s="127">
        <f t="shared" si="5"/>
        <v>0</v>
      </c>
      <c r="U42" s="127">
        <f t="shared" si="5"/>
        <v>0</v>
      </c>
      <c r="V42" s="128">
        <f t="shared" si="5"/>
        <v>0</v>
      </c>
      <c r="W42" s="129">
        <f>SUM(K42:V42)</f>
        <v>0</v>
      </c>
    </row>
    <row r="43" spans="1:23" ht="12.75">
      <c r="A43" s="61">
        <f>A42+1</f>
        <v>3</v>
      </c>
      <c r="B43" s="679"/>
      <c r="C43" s="680"/>
      <c r="D43" s="679"/>
      <c r="E43" s="685"/>
      <c r="F43" s="680"/>
      <c r="G43" s="679"/>
      <c r="H43" s="685"/>
      <c r="I43" s="702"/>
      <c r="J43" s="142">
        <f>1.2*D43*G43*(0.1213*B43+12.621)*10^(-6)</f>
        <v>0</v>
      </c>
      <c r="K43" s="141">
        <f t="shared" si="5"/>
        <v>0</v>
      </c>
      <c r="L43" s="127">
        <f t="shared" si="5"/>
        <v>0</v>
      </c>
      <c r="M43" s="127">
        <f t="shared" si="5"/>
        <v>0</v>
      </c>
      <c r="N43" s="127">
        <f t="shared" si="5"/>
        <v>0</v>
      </c>
      <c r="O43" s="127">
        <f t="shared" si="5"/>
        <v>0</v>
      </c>
      <c r="P43" s="127">
        <f t="shared" si="5"/>
        <v>0</v>
      </c>
      <c r="Q43" s="127">
        <f t="shared" si="5"/>
        <v>0</v>
      </c>
      <c r="R43" s="127">
        <f t="shared" si="5"/>
        <v>0</v>
      </c>
      <c r="S43" s="127">
        <f t="shared" si="5"/>
        <v>0</v>
      </c>
      <c r="T43" s="127">
        <f t="shared" si="5"/>
        <v>0</v>
      </c>
      <c r="U43" s="127">
        <f t="shared" si="5"/>
        <v>0</v>
      </c>
      <c r="V43" s="128">
        <f t="shared" si="5"/>
        <v>0</v>
      </c>
      <c r="W43" s="129">
        <f>SUM(K43:V43)</f>
        <v>0</v>
      </c>
    </row>
    <row r="44" spans="1:23" ht="12.75">
      <c r="A44" s="61">
        <f>A43+1</f>
        <v>4</v>
      </c>
      <c r="B44" s="679"/>
      <c r="C44" s="680"/>
      <c r="D44" s="679"/>
      <c r="E44" s="685"/>
      <c r="F44" s="680"/>
      <c r="G44" s="679"/>
      <c r="H44" s="685"/>
      <c r="I44" s="702"/>
      <c r="J44" s="142">
        <f>1.2*D44*G44*(0.1213*B44+12.621)*10^(-6)</f>
        <v>0</v>
      </c>
      <c r="K44" s="141">
        <f>$J44/12</f>
        <v>0</v>
      </c>
      <c r="L44" s="127">
        <f t="shared" si="5"/>
        <v>0</v>
      </c>
      <c r="M44" s="127">
        <f t="shared" si="5"/>
        <v>0</v>
      </c>
      <c r="N44" s="127">
        <f t="shared" si="5"/>
        <v>0</v>
      </c>
      <c r="O44" s="127">
        <f t="shared" si="5"/>
        <v>0</v>
      </c>
      <c r="P44" s="127">
        <f t="shared" si="5"/>
        <v>0</v>
      </c>
      <c r="Q44" s="127">
        <f t="shared" si="5"/>
        <v>0</v>
      </c>
      <c r="R44" s="127">
        <f t="shared" si="5"/>
        <v>0</v>
      </c>
      <c r="S44" s="127">
        <f t="shared" si="5"/>
        <v>0</v>
      </c>
      <c r="T44" s="127">
        <f t="shared" si="5"/>
        <v>0</v>
      </c>
      <c r="U44" s="127">
        <f t="shared" si="5"/>
        <v>0</v>
      </c>
      <c r="V44" s="128">
        <f t="shared" si="5"/>
        <v>0</v>
      </c>
      <c r="W44" s="129">
        <f>SUM(K44:V44)</f>
        <v>0</v>
      </c>
    </row>
    <row r="45" spans="1:23" ht="13.5" thickBot="1">
      <c r="A45" s="140">
        <v>5</v>
      </c>
      <c r="B45" s="681"/>
      <c r="C45" s="682"/>
      <c r="D45" s="681"/>
      <c r="E45" s="686"/>
      <c r="F45" s="682"/>
      <c r="G45" s="681"/>
      <c r="H45" s="686"/>
      <c r="I45" s="703"/>
      <c r="J45" s="159">
        <f>1.2*D45*G45*(0.1213*B45+12.621)*10^(-6)</f>
        <v>0</v>
      </c>
      <c r="K45" s="141">
        <f>$J45/12</f>
        <v>0</v>
      </c>
      <c r="L45" s="127">
        <f t="shared" si="5"/>
        <v>0</v>
      </c>
      <c r="M45" s="127">
        <f t="shared" si="5"/>
        <v>0</v>
      </c>
      <c r="N45" s="127">
        <f t="shared" si="5"/>
        <v>0</v>
      </c>
      <c r="O45" s="127">
        <f t="shared" si="5"/>
        <v>0</v>
      </c>
      <c r="P45" s="127">
        <f t="shared" si="5"/>
        <v>0</v>
      </c>
      <c r="Q45" s="127">
        <f t="shared" si="5"/>
        <v>0</v>
      </c>
      <c r="R45" s="127">
        <f t="shared" si="5"/>
        <v>0</v>
      </c>
      <c r="S45" s="127">
        <f t="shared" si="5"/>
        <v>0</v>
      </c>
      <c r="T45" s="127">
        <f t="shared" si="5"/>
        <v>0</v>
      </c>
      <c r="U45" s="127">
        <f t="shared" si="5"/>
        <v>0</v>
      </c>
      <c r="V45" s="128">
        <f t="shared" si="5"/>
        <v>0</v>
      </c>
      <c r="W45" s="129">
        <f>SUM(K45:V45)</f>
        <v>0</v>
      </c>
    </row>
    <row r="46" spans="1:23" ht="4.5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62"/>
      <c r="K46" s="130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1"/>
    </row>
    <row r="47" spans="1:23" ht="13.5" thickBot="1">
      <c r="A47" s="88" t="s">
        <v>12</v>
      </c>
      <c r="B47" s="67"/>
      <c r="C47" s="67"/>
      <c r="D47" s="67"/>
      <c r="E47" s="67"/>
      <c r="F47" s="67"/>
      <c r="G47" s="67"/>
      <c r="H47" s="67"/>
      <c r="I47" s="67"/>
      <c r="J47" s="143">
        <f aca="true" t="shared" si="6" ref="J47:W47">SUM(J41:J46)</f>
        <v>0.12346272000000001</v>
      </c>
      <c r="K47" s="132">
        <f t="shared" si="6"/>
        <v>0.01028856</v>
      </c>
      <c r="L47" s="133">
        <f t="shared" si="6"/>
        <v>0.01028856</v>
      </c>
      <c r="M47" s="133">
        <f t="shared" si="6"/>
        <v>0.01028856</v>
      </c>
      <c r="N47" s="133">
        <f t="shared" si="6"/>
        <v>0.01028856</v>
      </c>
      <c r="O47" s="133">
        <f t="shared" si="6"/>
        <v>0.01028856</v>
      </c>
      <c r="P47" s="133">
        <f t="shared" si="6"/>
        <v>0.01028856</v>
      </c>
      <c r="Q47" s="133">
        <f t="shared" si="6"/>
        <v>0.01028856</v>
      </c>
      <c r="R47" s="133">
        <f t="shared" si="6"/>
        <v>0.01028856</v>
      </c>
      <c r="S47" s="133">
        <f t="shared" si="6"/>
        <v>0.01028856</v>
      </c>
      <c r="T47" s="133">
        <f t="shared" si="6"/>
        <v>0.01028856</v>
      </c>
      <c r="U47" s="133">
        <f t="shared" si="6"/>
        <v>0.01028856</v>
      </c>
      <c r="V47" s="134">
        <f t="shared" si="6"/>
        <v>0.01028856</v>
      </c>
      <c r="W47" s="135">
        <f t="shared" si="6"/>
        <v>0.12346272000000001</v>
      </c>
    </row>
    <row r="50" spans="1:26" ht="15.75">
      <c r="A50" s="652" t="s">
        <v>94</v>
      </c>
      <c r="B50" s="652"/>
      <c r="C50" s="652"/>
      <c r="D50" s="652"/>
      <c r="E50" s="652"/>
      <c r="F50" s="652"/>
      <c r="G50" s="652"/>
      <c r="H50" s="652"/>
      <c r="I50" s="652"/>
      <c r="J50" s="652"/>
      <c r="K50" s="652"/>
      <c r="L50" s="652"/>
      <c r="M50" s="652"/>
      <c r="N50" s="652"/>
      <c r="O50" s="652"/>
      <c r="P50" s="652"/>
      <c r="Q50" s="652"/>
      <c r="R50" s="652"/>
      <c r="S50" s="652"/>
      <c r="T50" s="652"/>
      <c r="U50" s="652"/>
      <c r="V50" s="652"/>
      <c r="W50" s="652"/>
      <c r="X50" s="652"/>
      <c r="Y50" s="652"/>
      <c r="Z50" s="652"/>
    </row>
    <row r="51" ht="13.5" thickBot="1"/>
    <row r="52" spans="1:23" ht="54">
      <c r="A52" s="653" t="s">
        <v>13</v>
      </c>
      <c r="B52" s="641" t="s">
        <v>98</v>
      </c>
      <c r="C52" s="660"/>
      <c r="D52" s="163" t="s">
        <v>99</v>
      </c>
      <c r="E52" s="51" t="s">
        <v>105</v>
      </c>
      <c r="F52" s="170" t="s">
        <v>103</v>
      </c>
      <c r="G52" s="170" t="s">
        <v>104</v>
      </c>
      <c r="H52" s="163" t="s">
        <v>95</v>
      </c>
      <c r="I52" s="163" t="s">
        <v>97</v>
      </c>
      <c r="J52" s="57" t="s">
        <v>70</v>
      </c>
      <c r="K52" s="55" t="s">
        <v>0</v>
      </c>
      <c r="L52" s="55" t="s">
        <v>1</v>
      </c>
      <c r="M52" s="55" t="s">
        <v>2</v>
      </c>
      <c r="N52" s="55" t="s">
        <v>3</v>
      </c>
      <c r="O52" s="55" t="s">
        <v>4</v>
      </c>
      <c r="P52" s="55" t="s">
        <v>5</v>
      </c>
      <c r="Q52" s="55" t="s">
        <v>6</v>
      </c>
      <c r="R52" s="55" t="s">
        <v>7</v>
      </c>
      <c r="S52" s="55" t="s">
        <v>8</v>
      </c>
      <c r="T52" s="55" t="s">
        <v>9</v>
      </c>
      <c r="U52" s="55" t="s">
        <v>10</v>
      </c>
      <c r="V52" s="56" t="s">
        <v>11</v>
      </c>
      <c r="W52" s="57" t="s">
        <v>16</v>
      </c>
    </row>
    <row r="53" spans="1:23" ht="18" customHeight="1" thickBot="1">
      <c r="A53" s="654"/>
      <c r="B53" s="643" t="s">
        <v>39</v>
      </c>
      <c r="C53" s="661"/>
      <c r="D53" s="164" t="s">
        <v>59</v>
      </c>
      <c r="E53" s="74" t="s">
        <v>106</v>
      </c>
      <c r="F53" s="643" t="s">
        <v>43</v>
      </c>
      <c r="G53" s="661"/>
      <c r="H53" s="164" t="s">
        <v>96</v>
      </c>
      <c r="I53" s="164" t="s">
        <v>96</v>
      </c>
      <c r="J53" s="60" t="s">
        <v>15</v>
      </c>
      <c r="K53" s="693" t="s">
        <v>75</v>
      </c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9"/>
      <c r="W53" s="60" t="s">
        <v>15</v>
      </c>
    </row>
    <row r="54" spans="1:23" ht="12.75">
      <c r="A54" s="100">
        <v>1</v>
      </c>
      <c r="B54" s="698">
        <v>2</v>
      </c>
      <c r="C54" s="699"/>
      <c r="D54" s="148">
        <v>4</v>
      </c>
      <c r="E54" s="145">
        <v>20</v>
      </c>
      <c r="F54" s="176">
        <v>1</v>
      </c>
      <c r="G54" s="179">
        <f>IF(F54=1,0,1)</f>
        <v>0</v>
      </c>
      <c r="H54" s="148">
        <v>639</v>
      </c>
      <c r="I54" s="148">
        <v>400</v>
      </c>
      <c r="J54" s="142">
        <f>IF(F54=1,0.3,0.025)*B54*(H54-I54)*10^(-6)*D54*E54*24</f>
        <v>0.275328</v>
      </c>
      <c r="K54" s="141">
        <f aca="true" t="shared" si="7" ref="K54:V58">$J54/12</f>
        <v>0.022944000000000003</v>
      </c>
      <c r="L54" s="127">
        <f t="shared" si="7"/>
        <v>0.022944000000000003</v>
      </c>
      <c r="M54" s="127">
        <f t="shared" si="7"/>
        <v>0.022944000000000003</v>
      </c>
      <c r="N54" s="127">
        <f t="shared" si="7"/>
        <v>0.022944000000000003</v>
      </c>
      <c r="O54" s="127">
        <f t="shared" si="7"/>
        <v>0.022944000000000003</v>
      </c>
      <c r="P54" s="127">
        <f t="shared" si="7"/>
        <v>0.022944000000000003</v>
      </c>
      <c r="Q54" s="127">
        <f t="shared" si="7"/>
        <v>0.022944000000000003</v>
      </c>
      <c r="R54" s="127">
        <f t="shared" si="7"/>
        <v>0.022944000000000003</v>
      </c>
      <c r="S54" s="127">
        <f t="shared" si="7"/>
        <v>0.022944000000000003</v>
      </c>
      <c r="T54" s="127">
        <f t="shared" si="7"/>
        <v>0.022944000000000003</v>
      </c>
      <c r="U54" s="127">
        <f t="shared" si="7"/>
        <v>0.022944000000000003</v>
      </c>
      <c r="V54" s="128">
        <f t="shared" si="7"/>
        <v>0.022944000000000003</v>
      </c>
      <c r="W54" s="129">
        <f>SUM(K54:V54)</f>
        <v>0.275328</v>
      </c>
    </row>
    <row r="55" spans="1:23" ht="12.75">
      <c r="A55" s="61">
        <f>A54+1</f>
        <v>2</v>
      </c>
      <c r="B55" s="679"/>
      <c r="C55" s="680"/>
      <c r="D55" s="171"/>
      <c r="E55" s="180"/>
      <c r="F55" s="172"/>
      <c r="G55" s="181">
        <f>IF(F55=1,0,1)</f>
        <v>1</v>
      </c>
      <c r="H55" s="171"/>
      <c r="I55" s="171"/>
      <c r="J55" s="142">
        <f>IF(F55=1,0.3,0.025)*B55*(H55-I55)*10^(-6)*D55*E55*24</f>
        <v>0</v>
      </c>
      <c r="K55" s="141">
        <f t="shared" si="7"/>
        <v>0</v>
      </c>
      <c r="L55" s="127">
        <f t="shared" si="7"/>
        <v>0</v>
      </c>
      <c r="M55" s="127">
        <f t="shared" si="7"/>
        <v>0</v>
      </c>
      <c r="N55" s="127">
        <f t="shared" si="7"/>
        <v>0</v>
      </c>
      <c r="O55" s="127">
        <f t="shared" si="7"/>
        <v>0</v>
      </c>
      <c r="P55" s="127">
        <f t="shared" si="7"/>
        <v>0</v>
      </c>
      <c r="Q55" s="127">
        <f t="shared" si="7"/>
        <v>0</v>
      </c>
      <c r="R55" s="127">
        <f t="shared" si="7"/>
        <v>0</v>
      </c>
      <c r="S55" s="127">
        <f t="shared" si="7"/>
        <v>0</v>
      </c>
      <c r="T55" s="127">
        <f t="shared" si="7"/>
        <v>0</v>
      </c>
      <c r="U55" s="127">
        <f t="shared" si="7"/>
        <v>0</v>
      </c>
      <c r="V55" s="128">
        <f t="shared" si="7"/>
        <v>0</v>
      </c>
      <c r="W55" s="129">
        <f>SUM(K55:V55)</f>
        <v>0</v>
      </c>
    </row>
    <row r="56" spans="1:23" ht="12.75">
      <c r="A56" s="61">
        <f>A55+1</f>
        <v>3</v>
      </c>
      <c r="B56" s="679"/>
      <c r="C56" s="680"/>
      <c r="D56" s="171"/>
      <c r="E56" s="180"/>
      <c r="F56" s="172"/>
      <c r="G56" s="181">
        <f>IF(F56=1,0,1)</f>
        <v>1</v>
      </c>
      <c r="H56" s="171"/>
      <c r="I56" s="171"/>
      <c r="J56" s="142">
        <f>IF(F56=1,0.3,0.025)*B56*(H56-I56)*10^(-6)*D56*E56*24</f>
        <v>0</v>
      </c>
      <c r="K56" s="141">
        <f t="shared" si="7"/>
        <v>0</v>
      </c>
      <c r="L56" s="127">
        <f t="shared" si="7"/>
        <v>0</v>
      </c>
      <c r="M56" s="127">
        <f t="shared" si="7"/>
        <v>0</v>
      </c>
      <c r="N56" s="127">
        <f t="shared" si="7"/>
        <v>0</v>
      </c>
      <c r="O56" s="127">
        <f t="shared" si="7"/>
        <v>0</v>
      </c>
      <c r="P56" s="127">
        <f t="shared" si="7"/>
        <v>0</v>
      </c>
      <c r="Q56" s="127">
        <f t="shared" si="7"/>
        <v>0</v>
      </c>
      <c r="R56" s="127">
        <f t="shared" si="7"/>
        <v>0</v>
      </c>
      <c r="S56" s="127">
        <f t="shared" si="7"/>
        <v>0</v>
      </c>
      <c r="T56" s="127">
        <f t="shared" si="7"/>
        <v>0</v>
      </c>
      <c r="U56" s="127">
        <f t="shared" si="7"/>
        <v>0</v>
      </c>
      <c r="V56" s="128">
        <f t="shared" si="7"/>
        <v>0</v>
      </c>
      <c r="W56" s="129">
        <f>SUM(K56:V56)</f>
        <v>0</v>
      </c>
    </row>
    <row r="57" spans="1:23" ht="12.75">
      <c r="A57" s="61">
        <f>A56+1</f>
        <v>4</v>
      </c>
      <c r="B57" s="679"/>
      <c r="C57" s="680"/>
      <c r="D57" s="171"/>
      <c r="E57" s="180"/>
      <c r="F57" s="172"/>
      <c r="G57" s="181">
        <f>IF(F57=1,0,1)</f>
        <v>1</v>
      </c>
      <c r="H57" s="171"/>
      <c r="I57" s="171"/>
      <c r="J57" s="142">
        <f>IF(F57=1,0.3,0.025)*B57*(H57-I57)*10^(-6)*D57*E57*24</f>
        <v>0</v>
      </c>
      <c r="K57" s="141">
        <f>$J57/12</f>
        <v>0</v>
      </c>
      <c r="L57" s="127">
        <f t="shared" si="7"/>
        <v>0</v>
      </c>
      <c r="M57" s="127">
        <f t="shared" si="7"/>
        <v>0</v>
      </c>
      <c r="N57" s="127">
        <f t="shared" si="7"/>
        <v>0</v>
      </c>
      <c r="O57" s="127">
        <f t="shared" si="7"/>
        <v>0</v>
      </c>
      <c r="P57" s="127">
        <f t="shared" si="7"/>
        <v>0</v>
      </c>
      <c r="Q57" s="127">
        <f t="shared" si="7"/>
        <v>0</v>
      </c>
      <c r="R57" s="127">
        <f t="shared" si="7"/>
        <v>0</v>
      </c>
      <c r="S57" s="127">
        <f t="shared" si="7"/>
        <v>0</v>
      </c>
      <c r="T57" s="127">
        <f t="shared" si="7"/>
        <v>0</v>
      </c>
      <c r="U57" s="127">
        <f t="shared" si="7"/>
        <v>0</v>
      </c>
      <c r="V57" s="128">
        <f t="shared" si="7"/>
        <v>0</v>
      </c>
      <c r="W57" s="129">
        <f>SUM(K57:V57)</f>
        <v>0</v>
      </c>
    </row>
    <row r="58" spans="1:23" ht="13.5" thickBot="1">
      <c r="A58" s="140">
        <v>5</v>
      </c>
      <c r="B58" s="683"/>
      <c r="C58" s="684"/>
      <c r="D58" s="177"/>
      <c r="E58" s="169"/>
      <c r="F58" s="178"/>
      <c r="G58" s="182">
        <f>IF(F58=1,0,1)</f>
        <v>1</v>
      </c>
      <c r="H58" s="177"/>
      <c r="I58" s="177"/>
      <c r="J58" s="159">
        <f>IF(F58=1,0.3,0.025)*B58*(H58-I58)*10^(-6)*D58*E58*24</f>
        <v>0</v>
      </c>
      <c r="K58" s="141">
        <f>$J58/12</f>
        <v>0</v>
      </c>
      <c r="L58" s="127">
        <f t="shared" si="7"/>
        <v>0</v>
      </c>
      <c r="M58" s="127">
        <f t="shared" si="7"/>
        <v>0</v>
      </c>
      <c r="N58" s="127">
        <f t="shared" si="7"/>
        <v>0</v>
      </c>
      <c r="O58" s="127">
        <f t="shared" si="7"/>
        <v>0</v>
      </c>
      <c r="P58" s="127">
        <f t="shared" si="7"/>
        <v>0</v>
      </c>
      <c r="Q58" s="127">
        <f t="shared" si="7"/>
        <v>0</v>
      </c>
      <c r="R58" s="127">
        <f t="shared" si="7"/>
        <v>0</v>
      </c>
      <c r="S58" s="127">
        <f t="shared" si="7"/>
        <v>0</v>
      </c>
      <c r="T58" s="127">
        <f t="shared" si="7"/>
        <v>0</v>
      </c>
      <c r="U58" s="127">
        <f t="shared" si="7"/>
        <v>0</v>
      </c>
      <c r="V58" s="128">
        <f t="shared" si="7"/>
        <v>0</v>
      </c>
      <c r="W58" s="129">
        <f>SUM(K58:V58)</f>
        <v>0</v>
      </c>
    </row>
    <row r="59" spans="1:23" ht="4.5" customHeight="1" thickBot="1">
      <c r="A59" s="160"/>
      <c r="B59" s="161"/>
      <c r="C59" s="161"/>
      <c r="D59" s="161"/>
      <c r="E59" s="161"/>
      <c r="F59" s="161"/>
      <c r="H59" s="161"/>
      <c r="I59" s="161"/>
      <c r="J59" s="162"/>
      <c r="K59" s="130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1"/>
    </row>
    <row r="60" spans="1:23" ht="13.5" thickBot="1">
      <c r="A60" s="88" t="s">
        <v>12</v>
      </c>
      <c r="B60" s="67"/>
      <c r="C60" s="67"/>
      <c r="D60" s="67"/>
      <c r="E60" s="67"/>
      <c r="F60" s="67"/>
      <c r="G60" s="67"/>
      <c r="H60" s="67"/>
      <c r="I60" s="67"/>
      <c r="J60" s="143">
        <f aca="true" t="shared" si="8" ref="J60:W60">SUM(J54:J59)</f>
        <v>0.275328</v>
      </c>
      <c r="K60" s="132">
        <f t="shared" si="8"/>
        <v>0.022944000000000003</v>
      </c>
      <c r="L60" s="133">
        <f t="shared" si="8"/>
        <v>0.022944000000000003</v>
      </c>
      <c r="M60" s="133">
        <f t="shared" si="8"/>
        <v>0.022944000000000003</v>
      </c>
      <c r="N60" s="133">
        <f t="shared" si="8"/>
        <v>0.022944000000000003</v>
      </c>
      <c r="O60" s="133">
        <f t="shared" si="8"/>
        <v>0.022944000000000003</v>
      </c>
      <c r="P60" s="133">
        <f t="shared" si="8"/>
        <v>0.022944000000000003</v>
      </c>
      <c r="Q60" s="133">
        <f t="shared" si="8"/>
        <v>0.022944000000000003</v>
      </c>
      <c r="R60" s="133">
        <f t="shared" si="8"/>
        <v>0.022944000000000003</v>
      </c>
      <c r="S60" s="133">
        <f t="shared" si="8"/>
        <v>0.022944000000000003</v>
      </c>
      <c r="T60" s="133">
        <f t="shared" si="8"/>
        <v>0.022944000000000003</v>
      </c>
      <c r="U60" s="133">
        <f t="shared" si="8"/>
        <v>0.022944000000000003</v>
      </c>
      <c r="V60" s="134">
        <f t="shared" si="8"/>
        <v>0.022944000000000003</v>
      </c>
      <c r="W60" s="135">
        <f t="shared" si="8"/>
        <v>0.275328</v>
      </c>
    </row>
    <row r="61" ht="13.5" thickBot="1"/>
    <row r="62" spans="1:23" ht="16.5" thickBot="1">
      <c r="A62" s="676" t="s">
        <v>102</v>
      </c>
      <c r="B62" s="677"/>
      <c r="C62" s="677"/>
      <c r="D62" s="677"/>
      <c r="E62" s="677"/>
      <c r="F62" s="677"/>
      <c r="G62" s="677"/>
      <c r="H62" s="677"/>
      <c r="I62" s="678"/>
      <c r="J62" s="183">
        <f aca="true" t="shared" si="9" ref="J62:W62">J16+J31+J47+J60</f>
        <v>49.11913183324544</v>
      </c>
      <c r="K62" s="173">
        <f t="shared" si="9"/>
        <v>4.093260986103787</v>
      </c>
      <c r="L62" s="175">
        <f t="shared" si="9"/>
        <v>4.093260986103787</v>
      </c>
      <c r="M62" s="175">
        <f t="shared" si="9"/>
        <v>4.093260986103787</v>
      </c>
      <c r="N62" s="175">
        <f t="shared" si="9"/>
        <v>4.093260986103787</v>
      </c>
      <c r="O62" s="175">
        <f t="shared" si="9"/>
        <v>4.093260986103787</v>
      </c>
      <c r="P62" s="175">
        <f t="shared" si="9"/>
        <v>4.093260986103787</v>
      </c>
      <c r="Q62" s="175">
        <f t="shared" si="9"/>
        <v>4.093260986103787</v>
      </c>
      <c r="R62" s="175">
        <f t="shared" si="9"/>
        <v>4.093260986103787</v>
      </c>
      <c r="S62" s="175">
        <f t="shared" si="9"/>
        <v>4.093260986103787</v>
      </c>
      <c r="T62" s="175">
        <f t="shared" si="9"/>
        <v>4.093260986103787</v>
      </c>
      <c r="U62" s="175">
        <f t="shared" si="9"/>
        <v>4.093260986103787</v>
      </c>
      <c r="V62" s="174">
        <f t="shared" si="9"/>
        <v>4.093260986103787</v>
      </c>
      <c r="W62" s="183">
        <f t="shared" si="9"/>
        <v>49.11913183324544</v>
      </c>
    </row>
  </sheetData>
  <sheetProtection sheet="1" objects="1" scenarios="1"/>
  <mergeCells count="52">
    <mergeCell ref="A4:Z4"/>
    <mergeCell ref="A6:Z6"/>
    <mergeCell ref="A8:A9"/>
    <mergeCell ref="B8:B9"/>
    <mergeCell ref="K9:V9"/>
    <mergeCell ref="F8:G8"/>
    <mergeCell ref="F9:G9"/>
    <mergeCell ref="B57:C57"/>
    <mergeCell ref="A37:Z37"/>
    <mergeCell ref="A39:A40"/>
    <mergeCell ref="K40:V40"/>
    <mergeCell ref="A50:Z50"/>
    <mergeCell ref="D39:F39"/>
    <mergeCell ref="F53:G53"/>
    <mergeCell ref="K53:V53"/>
    <mergeCell ref="B52:C52"/>
    <mergeCell ref="B53:C53"/>
    <mergeCell ref="B54:C54"/>
    <mergeCell ref="F12:G12"/>
    <mergeCell ref="F13:G13"/>
    <mergeCell ref="F14:G14"/>
    <mergeCell ref="G42:I42"/>
    <mergeCell ref="G44:I44"/>
    <mergeCell ref="G45:I45"/>
    <mergeCell ref="G43:I43"/>
    <mergeCell ref="A52:A53"/>
    <mergeCell ref="A21:Z21"/>
    <mergeCell ref="A23:A24"/>
    <mergeCell ref="K24:V24"/>
    <mergeCell ref="B41:C41"/>
    <mergeCell ref="B42:C42"/>
    <mergeCell ref="D41:F41"/>
    <mergeCell ref="D42:F42"/>
    <mergeCell ref="D43:F43"/>
    <mergeCell ref="G41:I41"/>
    <mergeCell ref="F10:G10"/>
    <mergeCell ref="F11:G11"/>
    <mergeCell ref="B39:C39"/>
    <mergeCell ref="B40:C40"/>
    <mergeCell ref="G39:I39"/>
    <mergeCell ref="G40:I40"/>
    <mergeCell ref="D40:F40"/>
    <mergeCell ref="A2:D2"/>
    <mergeCell ref="A62:I62"/>
    <mergeCell ref="B43:C43"/>
    <mergeCell ref="B44:C44"/>
    <mergeCell ref="B45:C45"/>
    <mergeCell ref="B58:C58"/>
    <mergeCell ref="B55:C55"/>
    <mergeCell ref="B56:C56"/>
    <mergeCell ref="D44:F44"/>
    <mergeCell ref="D45:F45"/>
  </mergeCells>
  <hyperlinks>
    <hyperlink ref="C21" location="Оглавление!A1" display="Возврат в оглавление"/>
    <hyperlink ref="F65509" location="Оглавление!A1" display="Возврат в оглавление"/>
    <hyperlink ref="I65482" location="Оглавление!A1" display="Возврат в оглавление"/>
    <hyperlink ref="A2" location="Оглавление!A1" display="Возврат в оглавление"/>
  </hyperlinks>
  <printOptions/>
  <pageMargins left="0.32" right="0.23" top="0.68" bottom="0.45" header="0.5" footer="0.2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Артюшин Андрей</dc:creator>
  <cp:keywords/>
  <dc:description>Проект ГЭФ ПРООН."Служба Проекта".  г. Владимир. т. (0922) 32-22-45, 32-49-06</dc:description>
  <cp:lastModifiedBy>alex</cp:lastModifiedBy>
  <cp:lastPrinted>2004-02-18T14:57:26Z</cp:lastPrinted>
  <dcterms:created xsi:type="dcterms:W3CDTF">1998-06-16T12:09:30Z</dcterms:created>
  <dcterms:modified xsi:type="dcterms:W3CDTF">2004-02-26T15:50:54Z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